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9800" windowHeight="7335" activeTab="0"/>
  </bookViews>
  <sheets>
    <sheet name="Erdkalkulat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Uwe</author>
  </authors>
  <commentList>
    <comment ref="R26" authorId="0">
      <text>
        <r>
          <rPr>
            <b/>
            <sz val="9"/>
            <rFont val="Tahoma"/>
            <family val="0"/>
          </rPr>
          <t>Uwe:</t>
        </r>
        <r>
          <rPr>
            <sz val="9"/>
            <rFont val="Tahoma"/>
            <family val="0"/>
          </rPr>
          <t xml:space="preserve">
0,165 mS Diff. *0,65 Faktor für Umrechnung auf Salzgehalt * 20 für Umrechnung von 50 ml auf 1L</t>
        </r>
      </text>
    </comment>
    <comment ref="R25" authorId="0">
      <text>
        <r>
          <rPr>
            <b/>
            <sz val="9"/>
            <rFont val="Tahoma"/>
            <family val="0"/>
          </rPr>
          <t>Uwe:</t>
        </r>
        <r>
          <rPr>
            <sz val="9"/>
            <rFont val="Tahoma"/>
            <family val="0"/>
          </rPr>
          <t xml:space="preserve">
0,39 mS Diff. *0,65 Faktor für Umrechnung auf Salzgehalt * 20 für Umrechnung von 50 ml auf 1L</t>
        </r>
      </text>
    </comment>
    <comment ref="S26" authorId="0">
      <text>
        <r>
          <rPr>
            <b/>
            <sz val="9"/>
            <rFont val="Tahoma"/>
            <family val="0"/>
          </rPr>
          <t>Uwe:</t>
        </r>
        <r>
          <rPr>
            <sz val="9"/>
            <rFont val="Tahoma"/>
            <family val="0"/>
          </rPr>
          <t xml:space="preserve">
Leitwert bei:
5,52g +200 ml = 0,10
Faktor: 3,62</t>
        </r>
      </text>
    </comment>
  </commentList>
</comments>
</file>

<file path=xl/sharedStrings.xml><?xml version="1.0" encoding="utf-8"?>
<sst xmlns="http://schemas.openxmlformats.org/spreadsheetml/2006/main" count="311" uniqueCount="213">
  <si>
    <t>Material</t>
  </si>
  <si>
    <t>P2O5</t>
  </si>
  <si>
    <t>N</t>
  </si>
  <si>
    <t>Mg</t>
  </si>
  <si>
    <t>Wasserkap.</t>
  </si>
  <si>
    <t>Luftkap.</t>
  </si>
  <si>
    <t>Pure peat free Mix</t>
  </si>
  <si>
    <t>KAK</t>
  </si>
  <si>
    <t>kg/m³</t>
  </si>
  <si>
    <t>pH</t>
  </si>
  <si>
    <t>mg/L</t>
  </si>
  <si>
    <t>K2O</t>
  </si>
  <si>
    <t>2,5-3,5</t>
  </si>
  <si>
    <t>40-85</t>
  </si>
  <si>
    <t>Porenanteil</t>
  </si>
  <si>
    <t>Vol %</t>
  </si>
  <si>
    <t>91-96</t>
  </si>
  <si>
    <t>11-56</t>
  </si>
  <si>
    <t>in () = 1-wertig</t>
  </si>
  <si>
    <t>g/L</t>
  </si>
  <si>
    <t>Salz</t>
  </si>
  <si>
    <t>anteil</t>
  </si>
  <si>
    <t>Gewicht</t>
  </si>
  <si>
    <t>g/l</t>
  </si>
  <si>
    <t>Schwefel (S %, g)</t>
  </si>
  <si>
    <t>S</t>
  </si>
  <si>
    <t>ml</t>
  </si>
  <si>
    <t>P</t>
  </si>
  <si>
    <t>O</t>
  </si>
  <si>
    <t>H2</t>
  </si>
  <si>
    <t>Mol/L Wasser</t>
  </si>
  <si>
    <t>Mol/L Po4</t>
  </si>
  <si>
    <t>Gew. P</t>
  </si>
  <si>
    <t>Gew. P2O5</t>
  </si>
  <si>
    <t>je Liter Säure</t>
  </si>
  <si>
    <t>H3PO4 je Kokospacken</t>
  </si>
  <si>
    <t>Volumen je Kokospacken</t>
  </si>
  <si>
    <t>L</t>
  </si>
  <si>
    <t>g je Liter Säure</t>
  </si>
  <si>
    <t>g je Liter Kokos</t>
  </si>
  <si>
    <t>L /g /ml</t>
  </si>
  <si>
    <t>%</t>
  </si>
  <si>
    <t>mg</t>
  </si>
  <si>
    <t>Mol/L H2SO4</t>
  </si>
  <si>
    <t>H2SO4 je Kokospacken</t>
  </si>
  <si>
    <t>Gew. S</t>
  </si>
  <si>
    <t>CaO</t>
  </si>
  <si>
    <t>Ca</t>
  </si>
  <si>
    <t>C</t>
  </si>
  <si>
    <t>Hornspäne (N,S  g)</t>
  </si>
  <si>
    <t>Xylit 5/15</t>
  </si>
  <si>
    <t>Wasser</t>
  </si>
  <si>
    <t>Gips</t>
  </si>
  <si>
    <t>mmol/100gTM</t>
  </si>
  <si>
    <t xml:space="preserve"> Erdberechnung</t>
  </si>
  <si>
    <t>CaCO3 &gt;&gt;CaO</t>
  </si>
  <si>
    <t>Ca&gt;&gt;CaO</t>
  </si>
  <si>
    <t>CaSO4&gt;&gt;CaO</t>
  </si>
  <si>
    <t>S&gt;&gt;SO4</t>
  </si>
  <si>
    <t>CaSO4&gt;&gt;SO4</t>
  </si>
  <si>
    <t>B</t>
  </si>
  <si>
    <t>Mn</t>
  </si>
  <si>
    <t>Mo</t>
  </si>
  <si>
    <t>Cu</t>
  </si>
  <si>
    <t>Fe</t>
  </si>
  <si>
    <t>Zn</t>
  </si>
  <si>
    <t>Werten:</t>
  </si>
  <si>
    <t>SOLL:</t>
  </si>
  <si>
    <t>Citrus, Mineralisch&gt;2mm</t>
  </si>
  <si>
    <t>link</t>
  </si>
  <si>
    <t>geranien</t>
  </si>
  <si>
    <t>Kaliumsulfat (K2O,S, g)</t>
  </si>
  <si>
    <t>Salzgehalt</t>
  </si>
  <si>
    <t>PPfM</t>
  </si>
  <si>
    <t>U-XL mit</t>
  </si>
  <si>
    <t>U-XL ohne</t>
  </si>
  <si>
    <t>Torf</t>
  </si>
  <si>
    <t>Tuff0-1</t>
  </si>
  <si>
    <t>Tuff1-4</t>
  </si>
  <si>
    <t>Porlith 0-2</t>
  </si>
  <si>
    <t>Porlith2-4</t>
  </si>
  <si>
    <t>Xylit0-5</t>
  </si>
  <si>
    <t>Xylit5-15</t>
  </si>
  <si>
    <t>40€/m³</t>
  </si>
  <si>
    <t>&gt;&gt;</t>
  </si>
  <si>
    <t>/40L</t>
  </si>
  <si>
    <t>Tüte</t>
  </si>
  <si>
    <t>Dünger</t>
  </si>
  <si>
    <t>Preis</t>
  </si>
  <si>
    <t>Einheit</t>
  </si>
  <si>
    <t>Kosten</t>
  </si>
  <si>
    <t>EpsoTop (MgO,S, g)</t>
  </si>
  <si>
    <t>MgO&gt;&gt;Mg</t>
  </si>
  <si>
    <t>Fe, DTPA g</t>
  </si>
  <si>
    <t>x</t>
  </si>
  <si>
    <t>normal, gut gedüngt</t>
  </si>
  <si>
    <t>normal, Starkzehrer</t>
  </si>
  <si>
    <t>40L</t>
  </si>
  <si>
    <t>gesackt</t>
  </si>
  <si>
    <t>&gt;100 L</t>
  </si>
  <si>
    <t>&gt;500 L</t>
  </si>
  <si>
    <t>&gt;1 cbm</t>
  </si>
  <si>
    <t>lose &lt;100 L =</t>
  </si>
  <si>
    <t>lose &lt;500 L =</t>
  </si>
  <si>
    <t>lose &lt;1cbm =</t>
  </si>
  <si>
    <t>lose &gt; 1 cbm</t>
  </si>
  <si>
    <t>EK</t>
  </si>
  <si>
    <t>VK</t>
  </si>
  <si>
    <t>VK: 40L</t>
  </si>
  <si>
    <t>leitfähigkeit &gt;&gt;Salzgehalt g/L</t>
  </si>
  <si>
    <t>mg/kg</t>
  </si>
  <si>
    <t>Konverterkalk (CaO,Mgo) g</t>
  </si>
  <si>
    <t>P&gt;&gt;P2O5</t>
  </si>
  <si>
    <t>K&gt;&gt;K2O</t>
  </si>
  <si>
    <t>K</t>
  </si>
  <si>
    <t>Kamelien</t>
  </si>
  <si>
    <t>1 g gesamt</t>
  </si>
  <si>
    <t>Mischung</t>
  </si>
  <si>
    <t>LW</t>
  </si>
  <si>
    <t>gSalz/L</t>
  </si>
  <si>
    <t>Dolomitkalk 90 (CaO,Mg), g</t>
  </si>
  <si>
    <t>MgCO3&gt;&gt;MG</t>
  </si>
  <si>
    <t>Weißtorf, fein</t>
  </si>
  <si>
    <t>Leitwert</t>
  </si>
  <si>
    <t>mS</t>
  </si>
  <si>
    <t>Salzpuff.</t>
  </si>
  <si>
    <t>g</t>
  </si>
  <si>
    <t>inkl Mwst</t>
  </si>
  <si>
    <t>Carbokalk (CaO,P2O5,MgO) g</t>
  </si>
  <si>
    <t>Näherstoffverhältnis in Lösungen:</t>
  </si>
  <si>
    <t xml:space="preserve">N </t>
  </si>
  <si>
    <t>in mg-Atomen /L</t>
  </si>
  <si>
    <t>Mantrac  (MnCO3+MnO</t>
  </si>
  <si>
    <t>Citratlösl.</t>
  </si>
  <si>
    <t>Org.S.</t>
  </si>
  <si>
    <t>95-98</t>
  </si>
  <si>
    <t>96-99</t>
  </si>
  <si>
    <t>87-95</t>
  </si>
  <si>
    <t>Branntkalk (CaO), g</t>
  </si>
  <si>
    <t>Pfannenkalk (CaO,Mgo) g</t>
  </si>
  <si>
    <t>gesamt</t>
  </si>
  <si>
    <t>Nitrat</t>
  </si>
  <si>
    <t>org.</t>
  </si>
  <si>
    <t>Porlith 0-1</t>
  </si>
  <si>
    <t>Porlith 1-2</t>
  </si>
  <si>
    <t>Porlith 2-3</t>
  </si>
  <si>
    <t>Porlith 3-4</t>
  </si>
  <si>
    <t>Xylit Faser</t>
  </si>
  <si>
    <t>Trocken</t>
  </si>
  <si>
    <t>dichte</t>
  </si>
  <si>
    <t>Carbonat</t>
  </si>
  <si>
    <t>Amm.</t>
  </si>
  <si>
    <t>Wass.lösl.</t>
  </si>
  <si>
    <t xml:space="preserve">U-Gro XL </t>
  </si>
  <si>
    <t>Bims 0-1</t>
  </si>
  <si>
    <t>Bims 1-2</t>
  </si>
  <si>
    <t>Bims 2-3</t>
  </si>
  <si>
    <t>Bims 3-4</t>
  </si>
  <si>
    <t>als Gips</t>
  </si>
  <si>
    <t>als Carbonat</t>
  </si>
  <si>
    <t>Cl</t>
  </si>
  <si>
    <t>Na</t>
  </si>
  <si>
    <t>mg/Liter</t>
  </si>
  <si>
    <t>Phosphorsäure (ml)</t>
  </si>
  <si>
    <t>Schwefelsäure (ml)</t>
  </si>
  <si>
    <t xml:space="preserve">H </t>
  </si>
  <si>
    <t>Pufferung</t>
  </si>
  <si>
    <t>1,5g/L N</t>
  </si>
  <si>
    <t>2g/L N</t>
  </si>
  <si>
    <t>2,5g/L N</t>
  </si>
  <si>
    <t>2,5g K2O/L</t>
  </si>
  <si>
    <t>Oberfläche</t>
  </si>
  <si>
    <t>Xylit 4-10</t>
  </si>
  <si>
    <t>Brugmansien</t>
  </si>
  <si>
    <t>Tuff 0-0,5</t>
  </si>
  <si>
    <t>Tuff 0,5-2</t>
  </si>
  <si>
    <t>Tuff 2-4</t>
  </si>
  <si>
    <t>Tuff 0-4</t>
  </si>
  <si>
    <t>Xylit 0-0,5</t>
  </si>
  <si>
    <t>Xylit 0,5-2</t>
  </si>
  <si>
    <t>Xylit 2-4</t>
  </si>
  <si>
    <t>Xylit 0-4</t>
  </si>
  <si>
    <t>0-0,5</t>
  </si>
  <si>
    <t>0,5-2</t>
  </si>
  <si>
    <t>0-4</t>
  </si>
  <si>
    <t>CuCO3&gt;Cu</t>
  </si>
  <si>
    <t>2,0-4</t>
  </si>
  <si>
    <t>Rasen</t>
  </si>
  <si>
    <t>Hakaphos Soft Elite (g)</t>
  </si>
  <si>
    <t>Hakaphos rot (g)</t>
  </si>
  <si>
    <t>Hakaphos Soft extra (g)</t>
  </si>
  <si>
    <t>FeSO4&gt;&gt;Fe</t>
  </si>
  <si>
    <t>FeSO4&gt;&gt;S</t>
  </si>
  <si>
    <t xml:space="preserve">Hakaphos Grün (g) </t>
  </si>
  <si>
    <t>Kalksalpeter (N,CaO, g) 10</t>
  </si>
  <si>
    <t>Harnstoff g 2</t>
  </si>
  <si>
    <t>Hornmehl  (N,S  g)20</t>
  </si>
  <si>
    <t>MAP g P2O5/N 7</t>
  </si>
  <si>
    <t>CuSO4x5H2O</t>
  </si>
  <si>
    <t>1Mol K2O=</t>
  </si>
  <si>
    <t>1Val =</t>
  </si>
  <si>
    <t>4-6,3</t>
  </si>
  <si>
    <t>DM</t>
  </si>
  <si>
    <t>lt Analyse:</t>
  </si>
  <si>
    <t>6,3-8</t>
  </si>
  <si>
    <t>0-8</t>
  </si>
  <si>
    <t>Nährstoffgehalte Tuff</t>
  </si>
  <si>
    <t>CaCO3</t>
  </si>
  <si>
    <t>1mmol/Z/L=</t>
  </si>
  <si>
    <t>mg K2O</t>
  </si>
  <si>
    <t>mmol/Z/L;1-w.</t>
  </si>
  <si>
    <t>mg Na</t>
  </si>
  <si>
    <t>Citrusdünger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</si>
</sst>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407]dddd\,\ d\.\ mmmm\ yyyy"/>
    <numFmt numFmtId="167" formatCode="dd/mm/yy;@"/>
    <numFmt numFmtId="168" formatCode="mmm\ yyyy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6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Border="1" applyAlignment="1">
      <alignment/>
    </xf>
    <xf numFmtId="164" fontId="0" fillId="33" borderId="0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4" fillId="0" borderId="0" xfId="48" applyBorder="1" applyAlignment="1" applyProtection="1">
      <alignment/>
      <protection/>
    </xf>
    <xf numFmtId="0" fontId="6" fillId="35" borderId="0" xfId="0" applyFont="1" applyFill="1" applyAlignment="1">
      <alignment/>
    </xf>
    <xf numFmtId="0" fontId="4" fillId="0" borderId="0" xfId="48" applyFont="1" applyBorder="1" applyAlignment="1" applyProtection="1">
      <alignment/>
      <protection/>
    </xf>
    <xf numFmtId="164" fontId="0" fillId="35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4" fillId="0" borderId="0" xfId="48" applyFont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2" fontId="0" fillId="33" borderId="0" xfId="0" applyNumberFormat="1" applyFill="1" applyBorder="1" applyAlignment="1">
      <alignment/>
    </xf>
    <xf numFmtId="2" fontId="0" fillId="34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0" fillId="36" borderId="0" xfId="0" applyFont="1" applyFill="1" applyAlignment="1">
      <alignment horizontal="right"/>
    </xf>
    <xf numFmtId="165" fontId="0" fillId="0" borderId="0" xfId="0" applyNumberFormat="1" applyFill="1" applyAlignment="1">
      <alignment/>
    </xf>
    <xf numFmtId="165" fontId="0" fillId="36" borderId="0" xfId="0" applyNumberFormat="1" applyFill="1" applyAlignment="1">
      <alignment/>
    </xf>
    <xf numFmtId="165" fontId="0" fillId="0" borderId="0" xfId="0" applyNumberFormat="1" applyFill="1" applyBorder="1" applyAlignment="1">
      <alignment/>
    </xf>
    <xf numFmtId="0" fontId="6" fillId="0" borderId="0" xfId="0" applyFont="1" applyFill="1" applyAlignment="1">
      <alignment/>
    </xf>
    <xf numFmtId="164" fontId="6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8" xfId="0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8" xfId="0" applyFill="1" applyBorder="1" applyAlignment="1">
      <alignment/>
    </xf>
    <xf numFmtId="20" fontId="2" fillId="0" borderId="13" xfId="0" applyNumberFormat="1" applyFont="1" applyBorder="1" applyAlignment="1" quotePrefix="1">
      <alignment/>
    </xf>
    <xf numFmtId="0" fontId="0" fillId="33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12" xfId="0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ill="1" applyBorder="1" applyAlignment="1">
      <alignment/>
    </xf>
    <xf numFmtId="14" fontId="0" fillId="0" borderId="0" xfId="0" applyNumberFormat="1" applyBorder="1" applyAlignment="1">
      <alignment/>
    </xf>
    <xf numFmtId="0" fontId="0" fillId="35" borderId="0" xfId="0" applyFill="1" applyAlignment="1">
      <alignment/>
    </xf>
    <xf numFmtId="2" fontId="0" fillId="33" borderId="17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7" borderId="0" xfId="0" applyFill="1" applyAlignment="1">
      <alignment/>
    </xf>
    <xf numFmtId="0" fontId="2" fillId="37" borderId="0" xfId="0" applyFont="1" applyFill="1" applyAlignment="1">
      <alignment/>
    </xf>
    <xf numFmtId="0" fontId="0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38" borderId="14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5" xfId="0" applyFill="1" applyBorder="1" applyAlignment="1">
      <alignment/>
    </xf>
    <xf numFmtId="2" fontId="0" fillId="38" borderId="0" xfId="0" applyNumberFormat="1" applyFill="1" applyBorder="1" applyAlignment="1">
      <alignment/>
    </xf>
    <xf numFmtId="0" fontId="0" fillId="34" borderId="17" xfId="0" applyFill="1" applyBorder="1" applyAlignment="1">
      <alignment/>
    </xf>
    <xf numFmtId="0" fontId="0" fillId="38" borderId="0" xfId="0" applyFill="1" applyAlignment="1">
      <alignment/>
    </xf>
    <xf numFmtId="0" fontId="0" fillId="38" borderId="0" xfId="0" applyFont="1" applyFill="1" applyAlignment="1">
      <alignment/>
    </xf>
    <xf numFmtId="0" fontId="0" fillId="38" borderId="0" xfId="0" applyFont="1" applyFill="1" applyBorder="1" applyAlignment="1">
      <alignment/>
    </xf>
    <xf numFmtId="16" fontId="0" fillId="0" borderId="0" xfId="0" applyNumberFormat="1" applyFill="1" applyAlignment="1">
      <alignment/>
    </xf>
    <xf numFmtId="3" fontId="6" fillId="35" borderId="0" xfId="0" applyNumberFormat="1" applyFont="1" applyFill="1" applyAlignment="1">
      <alignment/>
    </xf>
    <xf numFmtId="0" fontId="0" fillId="37" borderId="0" xfId="0" applyNumberFormat="1" applyFill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ill>
        <patternFill>
          <bgColor indexed="10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1</xdr:col>
      <xdr:colOff>19050</xdr:colOff>
      <xdr:row>53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15350"/>
          <a:ext cx="2038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ollmer-gaertnerei.de/site/picture/upload/file/Citrus.pdf" TargetMode="External" /><Relationship Id="rId2" Type="http://schemas.openxmlformats.org/officeDocument/2006/relationships/hyperlink" Target="http://www.dghk.net/friends32/parser.php?artikel=820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BR82"/>
  <sheetViews>
    <sheetView tabSelected="1"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5" sqref="G45"/>
    </sheetView>
  </sheetViews>
  <sheetFormatPr defaultColWidth="11.421875" defaultRowHeight="12.75"/>
  <cols>
    <col min="1" max="1" width="30.28125" style="0" customWidth="1"/>
    <col min="2" max="3" width="5.00390625" style="0" bestFit="1" customWidth="1"/>
    <col min="4" max="4" width="10.140625" style="0" customWidth="1"/>
    <col min="5" max="5" width="7.28125" style="27" customWidth="1"/>
    <col min="6" max="6" width="7.140625" style="27" customWidth="1"/>
    <col min="7" max="7" width="8.57421875" style="27" customWidth="1"/>
    <col min="8" max="8" width="8.421875" style="0" customWidth="1"/>
    <col min="9" max="9" width="7.57421875" style="0" customWidth="1"/>
    <col min="10" max="10" width="8.421875" style="0" customWidth="1"/>
    <col min="11" max="11" width="10.28125" style="0" hidden="1" customWidth="1"/>
    <col min="12" max="12" width="11.00390625" style="0" hidden="1" customWidth="1"/>
    <col min="13" max="13" width="7.57421875" style="0" hidden="1" customWidth="1"/>
    <col min="14" max="16" width="6.7109375" style="0" hidden="1" customWidth="1"/>
    <col min="17" max="17" width="12.8515625" style="0" hidden="1" customWidth="1"/>
    <col min="18" max="18" width="15.28125" style="0" hidden="1" customWidth="1"/>
    <col min="19" max="19" width="9.140625" style="0" hidden="1" customWidth="1"/>
    <col min="20" max="20" width="9.8515625" style="0" hidden="1" customWidth="1"/>
    <col min="21" max="21" width="7.00390625" style="0" customWidth="1"/>
    <col min="22" max="22" width="7.00390625" style="0" bestFit="1" customWidth="1"/>
    <col min="23" max="23" width="8.57421875" style="0" hidden="1" customWidth="1"/>
    <col min="24" max="24" width="8.421875" style="0" customWidth="1"/>
    <col min="25" max="26" width="6.00390625" style="0" customWidth="1"/>
    <col min="27" max="27" width="6.7109375" style="0" customWidth="1"/>
    <col min="28" max="28" width="10.140625" style="0" customWidth="1"/>
    <col min="29" max="29" width="8.57421875" style="0" customWidth="1"/>
    <col min="30" max="30" width="8.8515625" style="0" customWidth="1"/>
    <col min="31" max="31" width="9.57421875" style="0" customWidth="1"/>
    <col min="32" max="32" width="9.140625" style="0" customWidth="1"/>
    <col min="33" max="33" width="10.140625" style="0" customWidth="1"/>
    <col min="34" max="34" width="8.7109375" style="0" customWidth="1"/>
    <col min="35" max="35" width="8.140625" style="0" customWidth="1"/>
    <col min="36" max="36" width="9.28125" style="0" customWidth="1"/>
    <col min="37" max="37" width="9.57421875" style="0" customWidth="1"/>
    <col min="38" max="39" width="9.421875" style="0" customWidth="1"/>
    <col min="40" max="40" width="8.140625" style="0" customWidth="1"/>
    <col min="41" max="41" width="8.421875" style="0" customWidth="1"/>
    <col min="42" max="42" width="8.8515625" style="0" customWidth="1"/>
    <col min="43" max="43" width="10.8515625" style="0" customWidth="1"/>
    <col min="44" max="48" width="7.28125" style="0" customWidth="1"/>
    <col min="49" max="49" width="8.421875" style="0" customWidth="1"/>
    <col min="50" max="51" width="7.28125" style="0" customWidth="1"/>
    <col min="52" max="52" width="9.00390625" style="0" customWidth="1"/>
    <col min="53" max="58" width="7.28125" style="0" customWidth="1"/>
    <col min="59" max="59" width="9.140625" style="0" customWidth="1"/>
    <col min="65" max="65" width="13.57421875" style="0" customWidth="1"/>
  </cols>
  <sheetData>
    <row r="1" spans="1:41" ht="18.75" thickBot="1">
      <c r="A1" s="5" t="s">
        <v>54</v>
      </c>
      <c r="B1" s="5"/>
      <c r="C1" s="5"/>
      <c r="D1" s="71"/>
      <c r="E1" s="27" t="s">
        <v>88</v>
      </c>
      <c r="F1" s="27" t="s">
        <v>89</v>
      </c>
      <c r="G1" s="27" t="s">
        <v>90</v>
      </c>
      <c r="H1" s="27" t="s">
        <v>148</v>
      </c>
      <c r="Q1" t="s">
        <v>53</v>
      </c>
      <c r="U1" t="s">
        <v>51</v>
      </c>
      <c r="V1" t="s">
        <v>52</v>
      </c>
      <c r="X1" s="89" t="s">
        <v>2</v>
      </c>
      <c r="Y1" s="90"/>
      <c r="Z1" s="90"/>
      <c r="AA1" s="90"/>
      <c r="AB1" s="91"/>
      <c r="AC1" s="92" t="s">
        <v>1</v>
      </c>
      <c r="AD1" s="93"/>
      <c r="AE1" s="93"/>
      <c r="AF1" s="94"/>
      <c r="AG1" s="89" t="s">
        <v>11</v>
      </c>
      <c r="AH1" s="91"/>
      <c r="AI1" s="89" t="s">
        <v>3</v>
      </c>
      <c r="AJ1" s="90"/>
      <c r="AK1" s="91"/>
      <c r="AL1" s="89" t="s">
        <v>46</v>
      </c>
      <c r="AM1" s="90"/>
      <c r="AN1" s="90"/>
      <c r="AO1" s="91"/>
    </row>
    <row r="2" spans="1:68" s="4" customFormat="1" ht="12.75">
      <c r="A2" s="4" t="s">
        <v>0</v>
      </c>
      <c r="B2" s="4" t="s">
        <v>41</v>
      </c>
      <c r="C2" s="4" t="s">
        <v>41</v>
      </c>
      <c r="D2" s="72" t="s">
        <v>21</v>
      </c>
      <c r="E2" s="4" t="s">
        <v>127</v>
      </c>
      <c r="F2" s="27"/>
      <c r="G2" s="27"/>
      <c r="H2" s="4" t="s">
        <v>149</v>
      </c>
      <c r="J2" s="4" t="s">
        <v>22</v>
      </c>
      <c r="K2" s="4" t="s">
        <v>14</v>
      </c>
      <c r="L2" s="4" t="s">
        <v>4</v>
      </c>
      <c r="M2" s="4" t="s">
        <v>5</v>
      </c>
      <c r="N2" s="4" t="s">
        <v>9</v>
      </c>
      <c r="O2" s="4" t="s">
        <v>134</v>
      </c>
      <c r="Q2" s="4" t="s">
        <v>7</v>
      </c>
      <c r="R2" t="s">
        <v>125</v>
      </c>
      <c r="S2" s="4" t="s">
        <v>123</v>
      </c>
      <c r="T2" s="4" t="s">
        <v>166</v>
      </c>
      <c r="U2" s="4" t="s">
        <v>20</v>
      </c>
      <c r="V2" s="4" t="s">
        <v>20</v>
      </c>
      <c r="X2" s="55" t="s">
        <v>140</v>
      </c>
      <c r="Y2" s="56" t="s">
        <v>141</v>
      </c>
      <c r="Z2" s="56" t="s">
        <v>151</v>
      </c>
      <c r="AA2" s="56" t="s">
        <v>142</v>
      </c>
      <c r="AB2" s="57"/>
      <c r="AC2" s="55" t="s">
        <v>140</v>
      </c>
      <c r="AD2" s="56" t="s">
        <v>152</v>
      </c>
      <c r="AE2" s="56" t="s">
        <v>133</v>
      </c>
      <c r="AF2" s="58"/>
      <c r="AG2" s="55" t="s">
        <v>140</v>
      </c>
      <c r="AH2" s="60"/>
      <c r="AI2" s="55" t="s">
        <v>140</v>
      </c>
      <c r="AJ2" s="56" t="s">
        <v>150</v>
      </c>
      <c r="AK2" s="57"/>
      <c r="AL2" s="55" t="s">
        <v>140</v>
      </c>
      <c r="AM2" s="56" t="s">
        <v>159</v>
      </c>
      <c r="AN2" s="56" t="s">
        <v>158</v>
      </c>
      <c r="AO2" s="57"/>
      <c r="AP2" s="12" t="s">
        <v>25</v>
      </c>
      <c r="AR2" s="12" t="s">
        <v>60</v>
      </c>
      <c r="AT2" s="12" t="s">
        <v>63</v>
      </c>
      <c r="AV2" s="12" t="s">
        <v>64</v>
      </c>
      <c r="AX2" s="12" t="s">
        <v>61</v>
      </c>
      <c r="AZ2" s="12" t="s">
        <v>62</v>
      </c>
      <c r="BB2" s="12" t="s">
        <v>65</v>
      </c>
      <c r="BD2" s="12" t="s">
        <v>160</v>
      </c>
      <c r="BF2" s="12" t="s">
        <v>161</v>
      </c>
      <c r="BH2" s="27" t="s">
        <v>56</v>
      </c>
      <c r="BJ2" s="27" t="s">
        <v>57</v>
      </c>
      <c r="BL2" s="27" t="s">
        <v>92</v>
      </c>
      <c r="BN2" s="4" t="s">
        <v>185</v>
      </c>
      <c r="BP2" s="4" t="s">
        <v>198</v>
      </c>
    </row>
    <row r="3" spans="4:68" ht="13.5" thickBot="1">
      <c r="D3" s="71" t="s">
        <v>40</v>
      </c>
      <c r="H3" t="s">
        <v>8</v>
      </c>
      <c r="J3" t="s">
        <v>23</v>
      </c>
      <c r="K3" t="s">
        <v>15</v>
      </c>
      <c r="L3" t="s">
        <v>15</v>
      </c>
      <c r="M3" t="s">
        <v>15</v>
      </c>
      <c r="O3" t="s">
        <v>41</v>
      </c>
      <c r="P3" t="s">
        <v>126</v>
      </c>
      <c r="Q3" t="s">
        <v>18</v>
      </c>
      <c r="R3" s="4" t="s">
        <v>126</v>
      </c>
      <c r="S3" t="s">
        <v>124</v>
      </c>
      <c r="T3" t="s">
        <v>124</v>
      </c>
      <c r="U3" t="s">
        <v>19</v>
      </c>
      <c r="V3" t="s">
        <v>19</v>
      </c>
      <c r="X3" s="22" t="s">
        <v>10</v>
      </c>
      <c r="Y3" s="53" t="s">
        <v>10</v>
      </c>
      <c r="Z3" s="53" t="s">
        <v>10</v>
      </c>
      <c r="AA3" s="53" t="s">
        <v>10</v>
      </c>
      <c r="AB3" s="24" t="s">
        <v>42</v>
      </c>
      <c r="AC3" s="22" t="s">
        <v>10</v>
      </c>
      <c r="AD3" s="53" t="s">
        <v>10</v>
      </c>
      <c r="AE3" s="53" t="s">
        <v>10</v>
      </c>
      <c r="AF3" s="59" t="s">
        <v>42</v>
      </c>
      <c r="AG3" s="22" t="s">
        <v>10</v>
      </c>
      <c r="AH3" s="24" t="s">
        <v>42</v>
      </c>
      <c r="AI3" s="22" t="s">
        <v>10</v>
      </c>
      <c r="AJ3" s="53"/>
      <c r="AK3" s="24" t="s">
        <v>42</v>
      </c>
      <c r="AL3" s="22" t="s">
        <v>10</v>
      </c>
      <c r="AM3" s="53" t="s">
        <v>10</v>
      </c>
      <c r="AN3" s="53" t="s">
        <v>10</v>
      </c>
      <c r="AO3" s="24" t="s">
        <v>42</v>
      </c>
      <c r="AP3" s="6" t="s">
        <v>10</v>
      </c>
      <c r="AQ3" t="s">
        <v>42</v>
      </c>
      <c r="AR3" s="6" t="s">
        <v>10</v>
      </c>
      <c r="AS3" t="s">
        <v>42</v>
      </c>
      <c r="AT3" s="6" t="s">
        <v>10</v>
      </c>
      <c r="AU3" t="s">
        <v>42</v>
      </c>
      <c r="AV3" s="6" t="s">
        <v>10</v>
      </c>
      <c r="AW3" t="s">
        <v>42</v>
      </c>
      <c r="AX3" s="6" t="s">
        <v>10</v>
      </c>
      <c r="AY3" t="s">
        <v>42</v>
      </c>
      <c r="AZ3" s="6" t="s">
        <v>10</v>
      </c>
      <c r="BA3" t="s">
        <v>42</v>
      </c>
      <c r="BB3" s="6" t="s">
        <v>10</v>
      </c>
      <c r="BC3" t="s">
        <v>42</v>
      </c>
      <c r="BD3" s="6" t="s">
        <v>10</v>
      </c>
      <c r="BE3" t="s">
        <v>42</v>
      </c>
      <c r="BF3" s="6" t="s">
        <v>162</v>
      </c>
      <c r="BH3">
        <f>(BH10+BK12)/BH10</f>
        <v>1.3991965666949449</v>
      </c>
      <c r="BJ3">
        <f>(BH10+BK12)/(BH10+BH12+4*BK12)</f>
        <v>0.4119098862192318</v>
      </c>
      <c r="BL3">
        <f>BJ10/(BJ10+BK12)</f>
        <v>0.6030418816990869</v>
      </c>
      <c r="BN3">
        <f>(63.55*2)/221.2</f>
        <v>0.5745931283905967</v>
      </c>
      <c r="BP3">
        <f>(63.55*2)/249.611</f>
        <v>0.5091923032238163</v>
      </c>
    </row>
    <row r="4" spans="1:59" ht="12.75">
      <c r="A4" t="s">
        <v>6</v>
      </c>
      <c r="D4" s="71"/>
      <c r="E4" s="27">
        <v>7.33</v>
      </c>
      <c r="F4" s="27">
        <v>50</v>
      </c>
      <c r="G4" s="32">
        <f>D4*E4/F4</f>
        <v>0</v>
      </c>
      <c r="H4">
        <v>111</v>
      </c>
      <c r="I4" s="9">
        <f>($D4)*H4</f>
        <v>0</v>
      </c>
      <c r="J4">
        <f>H4</f>
        <v>111</v>
      </c>
      <c r="O4" t="s">
        <v>135</v>
      </c>
      <c r="P4">
        <f>D4*H4*0.965</f>
        <v>0</v>
      </c>
      <c r="S4">
        <v>0.833</v>
      </c>
      <c r="U4">
        <v>2.04</v>
      </c>
      <c r="V4">
        <v>1.72</v>
      </c>
      <c r="W4" s="9">
        <f>($D4)*U4</f>
        <v>0</v>
      </c>
      <c r="X4" s="51">
        <v>87</v>
      </c>
      <c r="Y4" s="13">
        <v>86</v>
      </c>
      <c r="Z4" s="13">
        <v>1</v>
      </c>
      <c r="AA4" s="13"/>
      <c r="AB4" s="52">
        <f>($D4)*X4</f>
        <v>0</v>
      </c>
      <c r="AC4" s="51">
        <v>344</v>
      </c>
      <c r="AD4" s="13"/>
      <c r="AE4" s="13"/>
      <c r="AF4" s="52">
        <f>($D4)*AC4</f>
        <v>0</v>
      </c>
      <c r="AG4" s="61">
        <v>1476</v>
      </c>
      <c r="AH4" s="62">
        <f>($D4)*AG4</f>
        <v>0</v>
      </c>
      <c r="AI4" s="61">
        <v>189</v>
      </c>
      <c r="AJ4" s="63"/>
      <c r="AK4" s="62">
        <f>($D4)*AI4</f>
        <v>0</v>
      </c>
      <c r="AL4" s="61">
        <f>1212*BH3</f>
        <v>1695.8262388342732</v>
      </c>
      <c r="AM4" s="63"/>
      <c r="AN4" s="70">
        <f>(U4-V4)*1000*BJ3</f>
        <v>131.8111635901542</v>
      </c>
      <c r="AO4" s="62">
        <f aca="true" t="shared" si="0" ref="AO4:AO26">($D4)*AL4</f>
        <v>0</v>
      </c>
      <c r="AP4" s="6">
        <f>205/BJ6</f>
        <v>68.42865470898698</v>
      </c>
      <c r="AQ4" s="9">
        <f aca="true" t="shared" si="1" ref="AQ4:AQ27">AP4*D4</f>
        <v>0</v>
      </c>
      <c r="AR4" s="6">
        <v>0.47</v>
      </c>
      <c r="AS4" s="9">
        <f aca="true" t="shared" si="2" ref="AS4:AS27">AR4*D4</f>
        <v>0</v>
      </c>
      <c r="AT4" s="6">
        <v>0.3</v>
      </c>
      <c r="AU4" s="9">
        <f aca="true" t="shared" si="3" ref="AU4:AU27">AT4*D4</f>
        <v>0</v>
      </c>
      <c r="AV4" s="6">
        <v>16</v>
      </c>
      <c r="AW4" s="9">
        <f aca="true" t="shared" si="4" ref="AW4:AW27">AV4*D4</f>
        <v>0</v>
      </c>
      <c r="AX4" s="6">
        <v>4.1</v>
      </c>
      <c r="AY4" s="9">
        <f aca="true" t="shared" si="5" ref="AY4:AY27">AX4*D4</f>
        <v>0</v>
      </c>
      <c r="AZ4" s="6">
        <v>0.02</v>
      </c>
      <c r="BA4" s="9">
        <f aca="true" t="shared" si="6" ref="BA4:BA27">D4*AZ4</f>
        <v>0</v>
      </c>
      <c r="BB4" s="6">
        <v>3.4</v>
      </c>
      <c r="BC4" s="9">
        <f aca="true" t="shared" si="7" ref="BC4:BC27">D4*BB4</f>
        <v>0</v>
      </c>
      <c r="BD4" s="6">
        <v>459</v>
      </c>
      <c r="BE4" s="9">
        <f>D4*BD4</f>
        <v>0</v>
      </c>
      <c r="BF4" s="6">
        <v>298</v>
      </c>
      <c r="BG4" s="9">
        <f>D4*BF4</f>
        <v>0</v>
      </c>
    </row>
    <row r="5" spans="1:66" ht="12.75">
      <c r="A5" t="s">
        <v>153</v>
      </c>
      <c r="D5" s="71"/>
      <c r="E5" s="27">
        <v>5.33</v>
      </c>
      <c r="F5" s="27">
        <v>70</v>
      </c>
      <c r="G5" s="32">
        <f>D5*E5/F5</f>
        <v>0</v>
      </c>
      <c r="H5">
        <v>98</v>
      </c>
      <c r="I5" s="9">
        <f aca="true" t="shared" si="8" ref="I5:I26">($D5)*H5</f>
        <v>0</v>
      </c>
      <c r="J5">
        <v>100</v>
      </c>
      <c r="L5">
        <v>50</v>
      </c>
      <c r="M5">
        <v>30</v>
      </c>
      <c r="N5">
        <v>5.1</v>
      </c>
      <c r="O5" t="s">
        <v>135</v>
      </c>
      <c r="P5">
        <f>D5*H5*0.965</f>
        <v>0</v>
      </c>
      <c r="U5">
        <v>0.56</v>
      </c>
      <c r="V5">
        <v>0.56</v>
      </c>
      <c r="W5" s="9">
        <f>($D5)*U5</f>
        <v>0</v>
      </c>
      <c r="X5" s="51">
        <v>2</v>
      </c>
      <c r="Y5" s="13">
        <v>1</v>
      </c>
      <c r="Z5" s="13">
        <v>1</v>
      </c>
      <c r="AA5" s="13"/>
      <c r="AB5" s="52">
        <f>($D5)*X5</f>
        <v>0</v>
      </c>
      <c r="AC5" s="51">
        <v>17</v>
      </c>
      <c r="AD5" s="13"/>
      <c r="AE5" s="13"/>
      <c r="AF5" s="52">
        <f>($D5)*AC5</f>
        <v>0</v>
      </c>
      <c r="AG5" s="51">
        <v>697</v>
      </c>
      <c r="AH5" s="52">
        <f>($D5)*AG5</f>
        <v>0</v>
      </c>
      <c r="AI5" s="51">
        <v>134</v>
      </c>
      <c r="AJ5" s="13"/>
      <c r="AK5" s="52">
        <f>($D5)*AI5</f>
        <v>0</v>
      </c>
      <c r="AL5" s="51">
        <f>286*BH3</f>
        <v>400.17021807475425</v>
      </c>
      <c r="AM5" s="13"/>
      <c r="AN5" s="41">
        <v>0</v>
      </c>
      <c r="AO5" s="52">
        <f t="shared" si="0"/>
        <v>0</v>
      </c>
      <c r="AP5" s="6">
        <f>20/BJ6</f>
        <v>6.675966313071901</v>
      </c>
      <c r="AQ5" s="9">
        <f t="shared" si="1"/>
        <v>0</v>
      </c>
      <c r="AR5" s="6">
        <v>0.46</v>
      </c>
      <c r="AS5" s="9">
        <f t="shared" si="2"/>
        <v>0</v>
      </c>
      <c r="AT5" s="6">
        <v>0.3</v>
      </c>
      <c r="AU5" s="9">
        <f t="shared" si="3"/>
        <v>0</v>
      </c>
      <c r="AV5" s="6">
        <v>30</v>
      </c>
      <c r="AW5" s="9">
        <f t="shared" si="4"/>
        <v>0</v>
      </c>
      <c r="AX5" s="6">
        <v>6.1</v>
      </c>
      <c r="AY5" s="9">
        <f t="shared" si="5"/>
        <v>0</v>
      </c>
      <c r="AZ5" s="6">
        <v>0.46</v>
      </c>
      <c r="BA5" s="9">
        <f t="shared" si="6"/>
        <v>0</v>
      </c>
      <c r="BB5" s="6">
        <v>1.7</v>
      </c>
      <c r="BC5" s="9">
        <f t="shared" si="7"/>
        <v>0</v>
      </c>
      <c r="BD5" s="6">
        <v>235</v>
      </c>
      <c r="BE5" s="9">
        <f>D5*BD5</f>
        <v>0</v>
      </c>
      <c r="BF5" s="6">
        <v>179</v>
      </c>
      <c r="BG5" s="9">
        <f>D5*BF5</f>
        <v>0</v>
      </c>
      <c r="BH5" t="s">
        <v>55</v>
      </c>
      <c r="BJ5" t="s">
        <v>58</v>
      </c>
      <c r="BL5" t="s">
        <v>112</v>
      </c>
      <c r="BN5" t="s">
        <v>191</v>
      </c>
    </row>
    <row r="6" spans="1:66" ht="12.75">
      <c r="A6" t="s">
        <v>122</v>
      </c>
      <c r="D6" s="71"/>
      <c r="E6" s="27">
        <v>13.9</v>
      </c>
      <c r="F6" s="27">
        <v>250</v>
      </c>
      <c r="G6" s="32">
        <f>D6*E6/F6</f>
        <v>0</v>
      </c>
      <c r="H6">
        <v>110</v>
      </c>
      <c r="I6" s="9">
        <f t="shared" si="8"/>
        <v>0</v>
      </c>
      <c r="J6">
        <f>H6</f>
        <v>110</v>
      </c>
      <c r="K6" t="s">
        <v>16</v>
      </c>
      <c r="L6" t="s">
        <v>13</v>
      </c>
      <c r="M6" s="1" t="s">
        <v>17</v>
      </c>
      <c r="N6" t="s">
        <v>12</v>
      </c>
      <c r="O6" t="s">
        <v>136</v>
      </c>
      <c r="P6">
        <f>D6*H6*0.975</f>
        <v>0</v>
      </c>
      <c r="U6">
        <v>0.2</v>
      </c>
      <c r="V6">
        <v>0.2</v>
      </c>
      <c r="W6" s="9">
        <f>($D6)*U6</f>
        <v>0</v>
      </c>
      <c r="X6" s="51">
        <v>50</v>
      </c>
      <c r="Y6" s="13"/>
      <c r="Z6" s="13"/>
      <c r="AA6" s="13"/>
      <c r="AB6" s="52">
        <f>($D6)*X6</f>
        <v>0</v>
      </c>
      <c r="AC6" s="51">
        <v>30</v>
      </c>
      <c r="AD6" s="13"/>
      <c r="AE6" s="13"/>
      <c r="AF6" s="52">
        <f>($D6)*AC6</f>
        <v>0</v>
      </c>
      <c r="AG6" s="51">
        <v>0</v>
      </c>
      <c r="AH6" s="52">
        <f>($D6)*AG6</f>
        <v>0</v>
      </c>
      <c r="AI6" s="51">
        <v>70</v>
      </c>
      <c r="AJ6" s="13"/>
      <c r="AK6" s="52">
        <f>($D6)*AI6</f>
        <v>0</v>
      </c>
      <c r="AL6" s="51"/>
      <c r="AM6" s="13"/>
      <c r="AN6" s="41"/>
      <c r="AO6" s="52">
        <f t="shared" si="0"/>
        <v>0</v>
      </c>
      <c r="AP6" s="6"/>
      <c r="AQ6" s="9">
        <f t="shared" si="1"/>
        <v>0</v>
      </c>
      <c r="AR6" s="6"/>
      <c r="AS6" s="9">
        <f t="shared" si="2"/>
        <v>0</v>
      </c>
      <c r="AT6" s="6"/>
      <c r="AU6" s="9">
        <f t="shared" si="3"/>
        <v>0</v>
      </c>
      <c r="AV6" s="6"/>
      <c r="AW6" s="9">
        <f t="shared" si="4"/>
        <v>0</v>
      </c>
      <c r="AX6" s="6"/>
      <c r="AY6" s="9">
        <f t="shared" si="5"/>
        <v>0</v>
      </c>
      <c r="AZ6" s="6"/>
      <c r="BA6" s="9">
        <f t="shared" si="6"/>
        <v>0</v>
      </c>
      <c r="BB6" s="6"/>
      <c r="BC6" s="9">
        <f t="shared" si="7"/>
        <v>0</v>
      </c>
      <c r="BD6" s="6"/>
      <c r="BE6" s="9">
        <f aca="true" t="shared" si="9" ref="BE6:BE27">D6*BD6</f>
        <v>0</v>
      </c>
      <c r="BF6" s="6"/>
      <c r="BG6" s="9">
        <f aca="true" t="shared" si="10" ref="BG6:BG27">D6*BF6</f>
        <v>0</v>
      </c>
      <c r="BH6">
        <f>(BH10+BK12)/(BH10+BI10+3*BK12)</f>
        <v>0.5602881521891174</v>
      </c>
      <c r="BJ6">
        <f>(BH12+BK12*4)/BH12</f>
        <v>2.9958209886168725</v>
      </c>
      <c r="BL6">
        <f>((BJ12*2)+(BK12*5))/BJ12</f>
        <v>4.582649964486344</v>
      </c>
      <c r="BN6">
        <f>50.85/(50.85+32.07+(15.999*4))</f>
        <v>0.3461161480029405</v>
      </c>
    </row>
    <row r="7" spans="1:68" ht="12.75">
      <c r="A7" t="s">
        <v>51</v>
      </c>
      <c r="D7" s="71">
        <v>10</v>
      </c>
      <c r="G7" s="32"/>
      <c r="H7">
        <v>0</v>
      </c>
      <c r="I7" s="9">
        <f>($D7)*H7</f>
        <v>0</v>
      </c>
      <c r="M7" s="1"/>
      <c r="O7">
        <v>0</v>
      </c>
      <c r="W7" s="9"/>
      <c r="X7" s="51"/>
      <c r="Y7" s="13"/>
      <c r="Z7" s="13"/>
      <c r="AA7" s="13"/>
      <c r="AB7" s="52"/>
      <c r="AC7" s="51"/>
      <c r="AD7" s="13"/>
      <c r="AE7" s="13"/>
      <c r="AF7" s="52"/>
      <c r="AG7" s="51"/>
      <c r="AH7" s="52"/>
      <c r="AI7" s="51"/>
      <c r="AJ7" s="13"/>
      <c r="AK7" s="52">
        <f>($D7)*AI7</f>
        <v>0</v>
      </c>
      <c r="AL7" s="51"/>
      <c r="AM7" s="13"/>
      <c r="AN7" s="41"/>
      <c r="AO7" s="52">
        <f t="shared" si="0"/>
        <v>0</v>
      </c>
      <c r="AP7" s="6"/>
      <c r="AQ7" s="9">
        <f t="shared" si="1"/>
        <v>0</v>
      </c>
      <c r="AR7" s="6"/>
      <c r="AS7" s="9">
        <f t="shared" si="2"/>
        <v>0</v>
      </c>
      <c r="AT7" s="6"/>
      <c r="AU7" s="9">
        <f t="shared" si="3"/>
        <v>0</v>
      </c>
      <c r="AV7" s="6"/>
      <c r="AW7" s="9">
        <f t="shared" si="4"/>
        <v>0</v>
      </c>
      <c r="AX7" s="6"/>
      <c r="AY7" s="9">
        <f t="shared" si="5"/>
        <v>0</v>
      </c>
      <c r="AZ7" s="6"/>
      <c r="BA7" s="9">
        <f t="shared" si="6"/>
        <v>0</v>
      </c>
      <c r="BB7" s="6"/>
      <c r="BC7" s="9">
        <f t="shared" si="7"/>
        <v>0</v>
      </c>
      <c r="BD7" s="6"/>
      <c r="BE7" s="9">
        <f t="shared" si="9"/>
        <v>0</v>
      </c>
      <c r="BF7" s="6"/>
      <c r="BG7" s="9">
        <f t="shared" si="10"/>
        <v>0</v>
      </c>
      <c r="BH7" t="s">
        <v>121</v>
      </c>
      <c r="BJ7" t="s">
        <v>59</v>
      </c>
      <c r="BL7" t="s">
        <v>113</v>
      </c>
      <c r="BN7" t="s">
        <v>192</v>
      </c>
      <c r="BP7">
        <f>BM10+BH12+BK12*4+5*18</f>
        <v>249.611</v>
      </c>
    </row>
    <row r="8" spans="1:66" ht="12.75">
      <c r="A8" t="s">
        <v>174</v>
      </c>
      <c r="D8" s="71"/>
      <c r="E8" s="27">
        <v>40</v>
      </c>
      <c r="F8" s="27">
        <v>1000</v>
      </c>
      <c r="G8" s="32">
        <f aca="true" t="shared" si="11" ref="G8:G26">D8*E8/F8</f>
        <v>0</v>
      </c>
      <c r="H8" s="7">
        <v>1000</v>
      </c>
      <c r="I8" s="9">
        <f t="shared" si="8"/>
        <v>0</v>
      </c>
      <c r="M8" s="1"/>
      <c r="U8">
        <v>0.16</v>
      </c>
      <c r="V8">
        <v>0.16</v>
      </c>
      <c r="W8" s="9">
        <f>($D8)*U8</f>
        <v>0</v>
      </c>
      <c r="X8" s="51">
        <f>BN17</f>
        <v>83.7</v>
      </c>
      <c r="Y8" s="13"/>
      <c r="Z8" s="13"/>
      <c r="AA8" s="13"/>
      <c r="AB8" s="52">
        <f>X8*$D8</f>
        <v>0</v>
      </c>
      <c r="AC8" s="51">
        <f>BO17</f>
        <v>140.7</v>
      </c>
      <c r="AD8" s="13"/>
      <c r="AE8" s="13"/>
      <c r="AF8" s="52">
        <f>AC8*$D8</f>
        <v>0</v>
      </c>
      <c r="AG8" s="51">
        <f>BP17</f>
        <v>1551.4</v>
      </c>
      <c r="AH8" s="52">
        <f>AG8*$D8</f>
        <v>0</v>
      </c>
      <c r="AI8" s="51">
        <f>BQ17</f>
        <v>505.7</v>
      </c>
      <c r="AJ8" s="13"/>
      <c r="AK8" s="52">
        <f>AI8*$D8</f>
        <v>0</v>
      </c>
      <c r="AL8" s="51">
        <f>$BR17*$BH$6</f>
        <v>6945.275905721081</v>
      </c>
      <c r="AM8" s="13">
        <f>$BR17*$BH$6</f>
        <v>6945.275905721081</v>
      </c>
      <c r="AN8" s="41"/>
      <c r="AO8" s="52">
        <f t="shared" si="0"/>
        <v>0</v>
      </c>
      <c r="AP8" s="6"/>
      <c r="AQ8" s="9">
        <f t="shared" si="1"/>
        <v>0</v>
      </c>
      <c r="AR8" s="6"/>
      <c r="AS8" s="9">
        <f t="shared" si="2"/>
        <v>0</v>
      </c>
      <c r="AT8" s="6"/>
      <c r="AU8" s="9">
        <f t="shared" si="3"/>
        <v>0</v>
      </c>
      <c r="AV8" s="6"/>
      <c r="AW8" s="9">
        <f t="shared" si="4"/>
        <v>0</v>
      </c>
      <c r="AX8" s="6"/>
      <c r="AY8" s="9">
        <f t="shared" si="5"/>
        <v>0</v>
      </c>
      <c r="AZ8" s="6"/>
      <c r="BA8" s="9">
        <f t="shared" si="6"/>
        <v>0</v>
      </c>
      <c r="BB8" s="6"/>
      <c r="BC8" s="9">
        <f t="shared" si="7"/>
        <v>0</v>
      </c>
      <c r="BD8" s="6"/>
      <c r="BE8" s="9">
        <f t="shared" si="9"/>
        <v>0</v>
      </c>
      <c r="BF8" s="6"/>
      <c r="BG8" s="9">
        <f t="shared" si="10"/>
        <v>0</v>
      </c>
      <c r="BH8">
        <f>BJ10/(BJ10+BI10+3*BK12)</f>
        <v>0.2882710851232906</v>
      </c>
      <c r="BJ8">
        <f>(BH12+4*BK12)/(BH10+BH12+4*BK12)</f>
        <v>0.7056097077251926</v>
      </c>
      <c r="BL8">
        <f>(BK10*2+BK12)/BK10</f>
        <v>2.409199376955008</v>
      </c>
      <c r="BN8">
        <f>32.07/(50.85+32.07+(15.999*4))</f>
        <v>0.21828800130686923</v>
      </c>
    </row>
    <row r="9" spans="1:66" s="7" customFormat="1" ht="12.75">
      <c r="A9" s="7" t="s">
        <v>175</v>
      </c>
      <c r="D9" s="71"/>
      <c r="E9" s="27">
        <v>40</v>
      </c>
      <c r="F9" s="27">
        <v>1000</v>
      </c>
      <c r="G9" s="32">
        <f>D9*E9/F9</f>
        <v>0</v>
      </c>
      <c r="H9" s="7">
        <v>1000</v>
      </c>
      <c r="I9" s="9">
        <f t="shared" si="8"/>
        <v>0</v>
      </c>
      <c r="O9" s="7">
        <v>0</v>
      </c>
      <c r="R9">
        <f>((1.18*0.65)*20)*D9</f>
        <v>0</v>
      </c>
      <c r="S9"/>
      <c r="T9"/>
      <c r="U9">
        <v>0.16</v>
      </c>
      <c r="V9">
        <v>0.16</v>
      </c>
      <c r="W9" s="9">
        <f>($D9)*U9</f>
        <v>0</v>
      </c>
      <c r="X9" s="51">
        <f>BN18</f>
        <v>16.7</v>
      </c>
      <c r="Y9" s="13"/>
      <c r="Z9" s="13"/>
      <c r="AA9" s="13"/>
      <c r="AB9" s="52">
        <f>X9*D9</f>
        <v>0</v>
      </c>
      <c r="AC9" s="51">
        <f>BO18</f>
        <v>28.1</v>
      </c>
      <c r="AD9" s="13"/>
      <c r="AE9" s="13"/>
      <c r="AF9" s="52">
        <f>AC9*$D9</f>
        <v>0</v>
      </c>
      <c r="AG9" s="51">
        <f>BP18</f>
        <v>310.3</v>
      </c>
      <c r="AH9" s="52">
        <f>AG9*$D9</f>
        <v>0</v>
      </c>
      <c r="AI9" s="51">
        <f>BQ18</f>
        <v>101.2</v>
      </c>
      <c r="AJ9" s="13"/>
      <c r="AK9" s="52">
        <f>AI9*$D9</f>
        <v>0</v>
      </c>
      <c r="AL9" s="51">
        <f>BR18*$BH$6</f>
        <v>1389.2905021681356</v>
      </c>
      <c r="AM9" s="13">
        <f>$BR18*$BH$6</f>
        <v>1389.2905021681356</v>
      </c>
      <c r="AN9" s="41"/>
      <c r="AO9" s="52">
        <f t="shared" si="0"/>
        <v>0</v>
      </c>
      <c r="AP9" s="6"/>
      <c r="AQ9" s="9">
        <f t="shared" si="1"/>
        <v>0</v>
      </c>
      <c r="AR9" s="6"/>
      <c r="AS9" s="9">
        <f t="shared" si="2"/>
        <v>0</v>
      </c>
      <c r="AT9" s="6"/>
      <c r="AU9" s="9">
        <f t="shared" si="3"/>
        <v>0</v>
      </c>
      <c r="AV9" s="6"/>
      <c r="AW9" s="9">
        <f t="shared" si="4"/>
        <v>0</v>
      </c>
      <c r="AX9" s="6"/>
      <c r="AY9" s="9">
        <f t="shared" si="5"/>
        <v>0</v>
      </c>
      <c r="AZ9" s="6"/>
      <c r="BA9" s="9">
        <f t="shared" si="6"/>
        <v>0</v>
      </c>
      <c r="BB9" s="6"/>
      <c r="BC9" s="9">
        <f t="shared" si="7"/>
        <v>0</v>
      </c>
      <c r="BD9" s="6"/>
      <c r="BE9" s="9">
        <f t="shared" si="9"/>
        <v>0</v>
      </c>
      <c r="BF9" s="6"/>
      <c r="BG9" s="9">
        <f t="shared" si="10"/>
        <v>0</v>
      </c>
      <c r="BH9" t="s">
        <v>47</v>
      </c>
      <c r="BI9" t="s">
        <v>48</v>
      </c>
      <c r="BJ9" t="s">
        <v>3</v>
      </c>
      <c r="BK9" t="s">
        <v>114</v>
      </c>
      <c r="BL9" t="s">
        <v>2</v>
      </c>
      <c r="BM9" s="7" t="s">
        <v>63</v>
      </c>
      <c r="BN9" s="7" t="s">
        <v>161</v>
      </c>
    </row>
    <row r="10" spans="1:65" s="7" customFormat="1" ht="12.75">
      <c r="A10" s="86" t="s">
        <v>176</v>
      </c>
      <c r="D10" s="71"/>
      <c r="E10" s="27">
        <v>40</v>
      </c>
      <c r="F10" s="27">
        <v>1000</v>
      </c>
      <c r="G10" s="32">
        <f t="shared" si="11"/>
        <v>0</v>
      </c>
      <c r="H10" s="7">
        <v>1000</v>
      </c>
      <c r="I10" s="9">
        <f t="shared" si="8"/>
        <v>0</v>
      </c>
      <c r="R10"/>
      <c r="S10"/>
      <c r="T10"/>
      <c r="U10">
        <v>0.16</v>
      </c>
      <c r="V10">
        <v>0.16</v>
      </c>
      <c r="W10" s="9">
        <f>($D10)*U10</f>
        <v>0</v>
      </c>
      <c r="X10" s="51">
        <f>BN19</f>
        <v>7</v>
      </c>
      <c r="Y10" s="13"/>
      <c r="Z10" s="13"/>
      <c r="AA10" s="13"/>
      <c r="AB10" s="52">
        <f>X10*D10</f>
        <v>0</v>
      </c>
      <c r="AC10" s="51">
        <f>BO19</f>
        <v>11.7</v>
      </c>
      <c r="AD10" s="13"/>
      <c r="AE10" s="13"/>
      <c r="AF10" s="52">
        <f>AC10*$D10</f>
        <v>0</v>
      </c>
      <c r="AG10" s="51">
        <f>BP19</f>
        <v>129.2</v>
      </c>
      <c r="AH10" s="52">
        <f>AG10*$D10</f>
        <v>0</v>
      </c>
      <c r="AI10" s="51">
        <f>BQ19</f>
        <v>42.1</v>
      </c>
      <c r="AJ10" s="13"/>
      <c r="AK10" s="52">
        <f>AI10*$D10</f>
        <v>0</v>
      </c>
      <c r="AL10" s="51">
        <f>BR19*$BH$6</f>
        <v>578.6095747657016</v>
      </c>
      <c r="AM10" s="13">
        <f>$BR19*$BH$6</f>
        <v>578.6095747657016</v>
      </c>
      <c r="AN10" s="41"/>
      <c r="AO10" s="52">
        <f t="shared" si="0"/>
        <v>0</v>
      </c>
      <c r="AP10" s="6"/>
      <c r="AQ10" s="9">
        <f t="shared" si="1"/>
        <v>0</v>
      </c>
      <c r="AR10" s="6"/>
      <c r="AS10" s="9">
        <f t="shared" si="2"/>
        <v>0</v>
      </c>
      <c r="AT10" s="6"/>
      <c r="AU10" s="9">
        <f t="shared" si="3"/>
        <v>0</v>
      </c>
      <c r="AV10" s="6"/>
      <c r="AW10" s="9">
        <f t="shared" si="4"/>
        <v>0</v>
      </c>
      <c r="AX10" s="6"/>
      <c r="AY10" s="9">
        <f t="shared" si="5"/>
        <v>0</v>
      </c>
      <c r="AZ10" s="6"/>
      <c r="BA10" s="9">
        <f t="shared" si="6"/>
        <v>0</v>
      </c>
      <c r="BB10" s="6"/>
      <c r="BC10" s="9">
        <f t="shared" si="7"/>
        <v>0</v>
      </c>
      <c r="BD10" s="6"/>
      <c r="BE10" s="9">
        <f t="shared" si="9"/>
        <v>0</v>
      </c>
      <c r="BF10" s="6"/>
      <c r="BG10" s="9">
        <f t="shared" si="10"/>
        <v>0</v>
      </c>
      <c r="BH10">
        <v>40.078</v>
      </c>
      <c r="BI10">
        <v>12.011</v>
      </c>
      <c r="BJ10">
        <v>24.305</v>
      </c>
      <c r="BK10">
        <v>39.0983</v>
      </c>
      <c r="BL10">
        <v>14.0067</v>
      </c>
      <c r="BM10" s="7">
        <v>63.55</v>
      </c>
    </row>
    <row r="11" spans="1:63" s="7" customFormat="1" ht="12.75">
      <c r="A11" s="7" t="s">
        <v>177</v>
      </c>
      <c r="D11" s="71"/>
      <c r="E11" s="27">
        <v>40</v>
      </c>
      <c r="F11" s="27">
        <v>1000</v>
      </c>
      <c r="G11" s="32">
        <f t="shared" si="11"/>
        <v>0</v>
      </c>
      <c r="H11" s="7">
        <v>1000</v>
      </c>
      <c r="I11" s="9">
        <f t="shared" si="8"/>
        <v>0</v>
      </c>
      <c r="R11"/>
      <c r="S11"/>
      <c r="T11"/>
      <c r="U11">
        <v>0.16</v>
      </c>
      <c r="V11">
        <v>0.16</v>
      </c>
      <c r="W11" s="9">
        <f>($D11)*U11</f>
        <v>0</v>
      </c>
      <c r="X11" s="51">
        <f>BN20</f>
        <v>32.2</v>
      </c>
      <c r="Y11" s="13"/>
      <c r="Z11" s="13"/>
      <c r="AA11" s="13"/>
      <c r="AB11" s="52">
        <f>X11*D11</f>
        <v>0</v>
      </c>
      <c r="AC11" s="51">
        <f>BO20</f>
        <v>54.2</v>
      </c>
      <c r="AD11" s="13"/>
      <c r="AE11" s="13"/>
      <c r="AF11" s="52">
        <f>AC11*$D11</f>
        <v>0</v>
      </c>
      <c r="AG11" s="51">
        <f>BP20</f>
        <v>597.3</v>
      </c>
      <c r="AH11" s="52">
        <f>AG11*$D11</f>
        <v>0</v>
      </c>
      <c r="AI11" s="51">
        <f>BQ20</f>
        <v>194.7</v>
      </c>
      <c r="AJ11" s="13"/>
      <c r="AK11" s="52">
        <f>AI11*$D11</f>
        <v>0</v>
      </c>
      <c r="AL11" s="51">
        <f>BR20*$BH$6</f>
        <v>2674.0872639530007</v>
      </c>
      <c r="AM11" s="13">
        <f>$BR20*$BH$6</f>
        <v>2674.0872639530007</v>
      </c>
      <c r="AN11" s="41"/>
      <c r="AO11" s="52">
        <f t="shared" si="0"/>
        <v>0</v>
      </c>
      <c r="AP11" s="6"/>
      <c r="AQ11" s="9">
        <f t="shared" si="1"/>
        <v>0</v>
      </c>
      <c r="AR11" s="6"/>
      <c r="AS11" s="9">
        <f t="shared" si="2"/>
        <v>0</v>
      </c>
      <c r="AT11" s="6"/>
      <c r="AU11" s="9">
        <f t="shared" si="3"/>
        <v>0</v>
      </c>
      <c r="AV11" s="6"/>
      <c r="AW11" s="9">
        <f t="shared" si="4"/>
        <v>0</v>
      </c>
      <c r="AX11" s="6"/>
      <c r="AY11" s="9">
        <f t="shared" si="5"/>
        <v>0</v>
      </c>
      <c r="AZ11" s="6"/>
      <c r="BA11" s="9">
        <f t="shared" si="6"/>
        <v>0</v>
      </c>
      <c r="BB11" s="6"/>
      <c r="BC11" s="9">
        <f t="shared" si="7"/>
        <v>0</v>
      </c>
      <c r="BD11" s="6"/>
      <c r="BE11" s="9">
        <f t="shared" si="9"/>
        <v>0</v>
      </c>
      <c r="BF11" s="6"/>
      <c r="BG11" s="9">
        <f t="shared" si="10"/>
        <v>0</v>
      </c>
      <c r="BH11" s="7" t="s">
        <v>25</v>
      </c>
      <c r="BI11" s="7" t="s">
        <v>165</v>
      </c>
      <c r="BJ11" s="7" t="s">
        <v>27</v>
      </c>
      <c r="BK11" s="7" t="s">
        <v>28</v>
      </c>
    </row>
    <row r="12" spans="1:63" ht="12.75">
      <c r="A12" t="s">
        <v>154</v>
      </c>
      <c r="D12" s="71"/>
      <c r="E12" s="27">
        <v>40</v>
      </c>
      <c r="F12" s="27">
        <v>1000</v>
      </c>
      <c r="G12" s="32">
        <f t="shared" si="11"/>
        <v>0</v>
      </c>
      <c r="H12" s="39">
        <v>400</v>
      </c>
      <c r="I12" s="9">
        <f t="shared" si="8"/>
        <v>0</v>
      </c>
      <c r="J12">
        <f>H12</f>
        <v>400</v>
      </c>
      <c r="O12" s="7">
        <v>0</v>
      </c>
      <c r="P12" s="7"/>
      <c r="W12" s="9">
        <f aca="true" t="shared" si="12" ref="W12:W24">($D12)*U12</f>
        <v>0</v>
      </c>
      <c r="X12" s="51"/>
      <c r="Y12" s="13"/>
      <c r="Z12" s="13"/>
      <c r="AA12" s="13"/>
      <c r="AB12" s="52">
        <f>($D12)*X12</f>
        <v>0</v>
      </c>
      <c r="AC12" s="51"/>
      <c r="AD12" s="13"/>
      <c r="AE12" s="13"/>
      <c r="AF12" s="52">
        <f>($D12)*AC12</f>
        <v>0</v>
      </c>
      <c r="AG12" s="51"/>
      <c r="AH12" s="52">
        <f>($D12)*AG12</f>
        <v>0</v>
      </c>
      <c r="AI12" s="51"/>
      <c r="AJ12" s="13"/>
      <c r="AK12" s="52">
        <f>($D12)*AI12</f>
        <v>0</v>
      </c>
      <c r="AL12" s="51"/>
      <c r="AM12" s="13"/>
      <c r="AN12" s="41"/>
      <c r="AO12" s="52">
        <f t="shared" si="0"/>
        <v>0</v>
      </c>
      <c r="AP12" s="6"/>
      <c r="AQ12" s="9">
        <f t="shared" si="1"/>
        <v>0</v>
      </c>
      <c r="AR12" s="6"/>
      <c r="AS12" s="9">
        <f t="shared" si="2"/>
        <v>0</v>
      </c>
      <c r="AT12" s="6"/>
      <c r="AU12" s="9">
        <f t="shared" si="3"/>
        <v>0</v>
      </c>
      <c r="AV12" s="6"/>
      <c r="AW12" s="9">
        <f t="shared" si="4"/>
        <v>0</v>
      </c>
      <c r="AX12" s="6"/>
      <c r="AY12" s="9">
        <f t="shared" si="5"/>
        <v>0</v>
      </c>
      <c r="AZ12" s="6"/>
      <c r="BA12" s="9">
        <f t="shared" si="6"/>
        <v>0</v>
      </c>
      <c r="BB12" s="6"/>
      <c r="BC12" s="9">
        <f t="shared" si="7"/>
        <v>0</v>
      </c>
      <c r="BD12" s="6"/>
      <c r="BE12" s="9">
        <f t="shared" si="9"/>
        <v>0</v>
      </c>
      <c r="BF12" s="6"/>
      <c r="BG12" s="9">
        <f t="shared" si="10"/>
        <v>0</v>
      </c>
      <c r="BH12">
        <v>32.065</v>
      </c>
      <c r="BI12">
        <v>1.0079</v>
      </c>
      <c r="BJ12">
        <f>30.974</f>
        <v>30.974</v>
      </c>
      <c r="BK12">
        <v>15.999</v>
      </c>
    </row>
    <row r="13" spans="1:59" ht="12.75">
      <c r="A13" t="s">
        <v>155</v>
      </c>
      <c r="D13" s="71"/>
      <c r="E13" s="27">
        <v>40</v>
      </c>
      <c r="F13" s="27">
        <v>1000</v>
      </c>
      <c r="G13" s="32">
        <f t="shared" si="11"/>
        <v>0</v>
      </c>
      <c r="H13" s="39">
        <v>400</v>
      </c>
      <c r="I13" s="9"/>
      <c r="O13" s="7"/>
      <c r="P13" s="7"/>
      <c r="W13" s="9">
        <f t="shared" si="12"/>
        <v>0</v>
      </c>
      <c r="X13" s="51"/>
      <c r="Y13" s="13"/>
      <c r="Z13" s="13"/>
      <c r="AA13" s="13"/>
      <c r="AB13" s="52"/>
      <c r="AC13" s="51"/>
      <c r="AD13" s="13"/>
      <c r="AE13" s="13"/>
      <c r="AF13" s="52">
        <f>($D13)*AC13</f>
        <v>0</v>
      </c>
      <c r="AG13" s="51"/>
      <c r="AH13" s="52">
        <f>($D13)*AG13</f>
        <v>0</v>
      </c>
      <c r="AI13" s="51"/>
      <c r="AJ13" s="13"/>
      <c r="AK13" s="52">
        <f>($D13)*AI13</f>
        <v>0</v>
      </c>
      <c r="AL13" s="51"/>
      <c r="AM13" s="13"/>
      <c r="AN13" s="41"/>
      <c r="AO13" s="52">
        <f t="shared" si="0"/>
        <v>0</v>
      </c>
      <c r="AP13" s="6"/>
      <c r="AQ13" s="9">
        <f t="shared" si="1"/>
        <v>0</v>
      </c>
      <c r="AR13" s="6"/>
      <c r="AS13" s="9">
        <f t="shared" si="2"/>
        <v>0</v>
      </c>
      <c r="AT13" s="6"/>
      <c r="AU13" s="9">
        <f t="shared" si="3"/>
        <v>0</v>
      </c>
      <c r="AV13" s="6"/>
      <c r="AW13" s="9">
        <f t="shared" si="4"/>
        <v>0</v>
      </c>
      <c r="AX13" s="6"/>
      <c r="AY13" s="9">
        <f t="shared" si="5"/>
        <v>0</v>
      </c>
      <c r="AZ13" s="6"/>
      <c r="BA13" s="9">
        <f t="shared" si="6"/>
        <v>0</v>
      </c>
      <c r="BB13" s="6"/>
      <c r="BC13" s="9">
        <f t="shared" si="7"/>
        <v>0</v>
      </c>
      <c r="BD13" s="6"/>
      <c r="BE13" s="9">
        <f t="shared" si="9"/>
        <v>0</v>
      </c>
      <c r="BF13" s="6"/>
      <c r="BG13" s="9">
        <f t="shared" si="10"/>
        <v>0</v>
      </c>
    </row>
    <row r="14" spans="1:59" ht="12.75">
      <c r="A14" t="s">
        <v>156</v>
      </c>
      <c r="D14" s="71"/>
      <c r="E14" s="27">
        <v>40</v>
      </c>
      <c r="F14" s="27">
        <v>1000</v>
      </c>
      <c r="G14" s="32">
        <f t="shared" si="11"/>
        <v>0</v>
      </c>
      <c r="H14" s="39">
        <v>400</v>
      </c>
      <c r="I14" s="9"/>
      <c r="O14" s="7"/>
      <c r="P14" s="7"/>
      <c r="W14" s="9">
        <f t="shared" si="12"/>
        <v>0</v>
      </c>
      <c r="X14" s="51"/>
      <c r="Y14" s="13"/>
      <c r="Z14" s="13"/>
      <c r="AA14" s="13"/>
      <c r="AB14" s="52"/>
      <c r="AC14" s="51"/>
      <c r="AD14" s="13"/>
      <c r="AE14" s="13"/>
      <c r="AF14" s="52"/>
      <c r="AG14" s="51"/>
      <c r="AH14" s="52"/>
      <c r="AI14" s="51"/>
      <c r="AJ14" s="13"/>
      <c r="AK14" s="52"/>
      <c r="AL14" s="51"/>
      <c r="AM14" s="13"/>
      <c r="AN14" s="41"/>
      <c r="AO14" s="52">
        <f t="shared" si="0"/>
        <v>0</v>
      </c>
      <c r="AP14" s="6"/>
      <c r="AQ14" s="9">
        <f t="shared" si="1"/>
        <v>0</v>
      </c>
      <c r="AR14" s="6"/>
      <c r="AS14" s="9">
        <f t="shared" si="2"/>
        <v>0</v>
      </c>
      <c r="AT14" s="6"/>
      <c r="AU14" s="9">
        <f t="shared" si="3"/>
        <v>0</v>
      </c>
      <c r="AV14" s="6"/>
      <c r="AW14" s="9">
        <f t="shared" si="4"/>
        <v>0</v>
      </c>
      <c r="AX14" s="6"/>
      <c r="AY14" s="9">
        <f t="shared" si="5"/>
        <v>0</v>
      </c>
      <c r="AZ14" s="6"/>
      <c r="BA14" s="9">
        <f t="shared" si="6"/>
        <v>0</v>
      </c>
      <c r="BB14" s="6"/>
      <c r="BC14" s="9">
        <f t="shared" si="7"/>
        <v>0</v>
      </c>
      <c r="BD14" s="6"/>
      <c r="BE14" s="9">
        <f t="shared" si="9"/>
        <v>0</v>
      </c>
      <c r="BF14" s="6"/>
      <c r="BG14" s="9">
        <f t="shared" si="10"/>
        <v>0</v>
      </c>
    </row>
    <row r="15" spans="1:63" ht="12.75">
      <c r="A15" t="s">
        <v>157</v>
      </c>
      <c r="D15" s="71"/>
      <c r="E15" s="27">
        <v>40</v>
      </c>
      <c r="F15" s="27">
        <v>1000</v>
      </c>
      <c r="G15" s="32">
        <f t="shared" si="11"/>
        <v>0</v>
      </c>
      <c r="H15" s="39">
        <v>400</v>
      </c>
      <c r="I15" s="9"/>
      <c r="O15" s="7"/>
      <c r="P15" s="7"/>
      <c r="W15" s="9">
        <f t="shared" si="12"/>
        <v>0</v>
      </c>
      <c r="X15" s="51"/>
      <c r="Y15" s="13"/>
      <c r="Z15" s="13"/>
      <c r="AA15" s="13"/>
      <c r="AB15" s="52"/>
      <c r="AC15" s="51"/>
      <c r="AD15" s="13"/>
      <c r="AE15" s="13"/>
      <c r="AF15" s="52"/>
      <c r="AG15" s="51"/>
      <c r="AH15" s="52"/>
      <c r="AI15" s="51"/>
      <c r="AJ15" s="13"/>
      <c r="AK15" s="52"/>
      <c r="AL15" s="51"/>
      <c r="AM15" s="13"/>
      <c r="AN15" s="41"/>
      <c r="AO15" s="52">
        <f t="shared" si="0"/>
        <v>0</v>
      </c>
      <c r="AP15" s="6"/>
      <c r="AQ15" s="9">
        <f t="shared" si="1"/>
        <v>0</v>
      </c>
      <c r="AR15" s="6"/>
      <c r="AS15" s="9">
        <f t="shared" si="2"/>
        <v>0</v>
      </c>
      <c r="AT15" s="6"/>
      <c r="AU15" s="9">
        <f t="shared" si="3"/>
        <v>0</v>
      </c>
      <c r="AV15" s="6"/>
      <c r="AW15" s="9">
        <f t="shared" si="4"/>
        <v>0</v>
      </c>
      <c r="AX15" s="6"/>
      <c r="AY15" s="9">
        <f t="shared" si="5"/>
        <v>0</v>
      </c>
      <c r="AZ15" s="6"/>
      <c r="BA15" s="9">
        <f t="shared" si="6"/>
        <v>0</v>
      </c>
      <c r="BB15" s="6"/>
      <c r="BC15" s="9">
        <f t="shared" si="7"/>
        <v>0</v>
      </c>
      <c r="BD15" s="6"/>
      <c r="BE15" s="9">
        <f t="shared" si="9"/>
        <v>0</v>
      </c>
      <c r="BF15" s="6"/>
      <c r="BG15" s="9">
        <f t="shared" si="10"/>
        <v>0</v>
      </c>
      <c r="BK15" t="s">
        <v>206</v>
      </c>
    </row>
    <row r="16" spans="1:70" ht="12.75">
      <c r="A16" t="s">
        <v>143</v>
      </c>
      <c r="D16" s="71"/>
      <c r="E16" s="27">
        <v>40</v>
      </c>
      <c r="F16" s="27">
        <v>1000</v>
      </c>
      <c r="G16" s="32">
        <f t="shared" si="11"/>
        <v>0</v>
      </c>
      <c r="H16" s="39">
        <v>800</v>
      </c>
      <c r="I16" s="9"/>
      <c r="O16" s="7"/>
      <c r="P16" s="7"/>
      <c r="U16" s="7">
        <v>4.5</v>
      </c>
      <c r="V16" s="7">
        <v>0.35</v>
      </c>
      <c r="W16" s="9">
        <f t="shared" si="12"/>
        <v>0</v>
      </c>
      <c r="X16" s="51">
        <v>30</v>
      </c>
      <c r="Y16" s="13"/>
      <c r="Z16" s="13"/>
      <c r="AA16" s="13"/>
      <c r="AB16" s="52">
        <f aca="true" t="shared" si="13" ref="AB16:AB27">($D16)*X16</f>
        <v>0</v>
      </c>
      <c r="AC16" s="51">
        <v>276</v>
      </c>
      <c r="AD16" s="13"/>
      <c r="AE16" s="13"/>
      <c r="AF16" s="52">
        <f aca="true" t="shared" si="14" ref="AF16:AF27">($D16)*AC16</f>
        <v>0</v>
      </c>
      <c r="AG16" s="51">
        <v>30</v>
      </c>
      <c r="AH16" s="52">
        <f aca="true" t="shared" si="15" ref="AH16:AH27">($D16)*AG16</f>
        <v>0</v>
      </c>
      <c r="AI16" s="51">
        <v>60</v>
      </c>
      <c r="AJ16" s="13"/>
      <c r="AK16" s="52">
        <f aca="true" t="shared" si="16" ref="AK16:AK27">($D16)*AI16</f>
        <v>0</v>
      </c>
      <c r="AL16" s="51">
        <f>(U16-V16)*1000*$BJ$3</f>
        <v>1709.426027809812</v>
      </c>
      <c r="AM16" s="13"/>
      <c r="AN16" s="41">
        <f aca="true" t="shared" si="17" ref="AN16:AN26">(U16-V16)*1000*$BJ$3</f>
        <v>1709.426027809812</v>
      </c>
      <c r="AO16" s="52">
        <f t="shared" si="0"/>
        <v>0</v>
      </c>
      <c r="AP16" s="6">
        <f>((U16-V16)*1000*$BJ$8/$BJ$6)</f>
        <v>977.4550275821033</v>
      </c>
      <c r="AQ16" s="9">
        <f t="shared" si="1"/>
        <v>0</v>
      </c>
      <c r="AR16" s="6"/>
      <c r="AS16" s="9">
        <f t="shared" si="2"/>
        <v>0</v>
      </c>
      <c r="AT16" s="6"/>
      <c r="AU16" s="9">
        <f t="shared" si="3"/>
        <v>0</v>
      </c>
      <c r="AV16" s="6"/>
      <c r="AW16" s="9">
        <f t="shared" si="4"/>
        <v>0</v>
      </c>
      <c r="AX16" s="6"/>
      <c r="AY16" s="9">
        <f t="shared" si="5"/>
        <v>0</v>
      </c>
      <c r="AZ16" s="6"/>
      <c r="BA16" s="9">
        <f t="shared" si="6"/>
        <v>0</v>
      </c>
      <c r="BB16" s="6"/>
      <c r="BC16" s="9">
        <f t="shared" si="7"/>
        <v>0</v>
      </c>
      <c r="BD16" s="6"/>
      <c r="BE16" s="9">
        <f t="shared" si="9"/>
        <v>0</v>
      </c>
      <c r="BF16" s="6"/>
      <c r="BG16" s="9">
        <f t="shared" si="10"/>
        <v>0</v>
      </c>
      <c r="BK16" t="s">
        <v>202</v>
      </c>
      <c r="BL16" t="s">
        <v>171</v>
      </c>
      <c r="BM16" t="s">
        <v>210</v>
      </c>
      <c r="BN16" t="s">
        <v>2</v>
      </c>
      <c r="BO16" t="s">
        <v>1</v>
      </c>
      <c r="BP16" t="s">
        <v>11</v>
      </c>
      <c r="BQ16" t="s">
        <v>3</v>
      </c>
      <c r="BR16" t="s">
        <v>207</v>
      </c>
    </row>
    <row r="17" spans="1:70" ht="12.75">
      <c r="A17" t="s">
        <v>144</v>
      </c>
      <c r="D17" s="71"/>
      <c r="E17" s="27">
        <v>40</v>
      </c>
      <c r="F17" s="27">
        <v>1000</v>
      </c>
      <c r="G17" s="32">
        <f t="shared" si="11"/>
        <v>0</v>
      </c>
      <c r="H17" s="39">
        <v>800</v>
      </c>
      <c r="I17" s="9"/>
      <c r="O17" s="7"/>
      <c r="P17" s="7"/>
      <c r="U17" s="7">
        <v>4.5</v>
      </c>
      <c r="V17" s="7">
        <v>0.35</v>
      </c>
      <c r="W17" s="9">
        <f t="shared" si="12"/>
        <v>0</v>
      </c>
      <c r="X17" s="51">
        <v>30</v>
      </c>
      <c r="Y17" s="13"/>
      <c r="Z17" s="13"/>
      <c r="AA17" s="13"/>
      <c r="AB17" s="52">
        <f t="shared" si="13"/>
        <v>0</v>
      </c>
      <c r="AC17" s="51">
        <v>276</v>
      </c>
      <c r="AD17" s="13"/>
      <c r="AE17" s="13"/>
      <c r="AF17" s="52">
        <f t="shared" si="14"/>
        <v>0</v>
      </c>
      <c r="AG17" s="51">
        <v>30</v>
      </c>
      <c r="AH17" s="52">
        <f t="shared" si="15"/>
        <v>0</v>
      </c>
      <c r="AI17" s="51">
        <v>60</v>
      </c>
      <c r="AJ17" s="13"/>
      <c r="AK17" s="52">
        <f t="shared" si="16"/>
        <v>0</v>
      </c>
      <c r="AL17" s="51">
        <f>(U17-V17)*1000*$BJ$3</f>
        <v>1709.426027809812</v>
      </c>
      <c r="AM17" s="13"/>
      <c r="AN17" s="41">
        <f t="shared" si="17"/>
        <v>1709.426027809812</v>
      </c>
      <c r="AO17" s="52">
        <f t="shared" si="0"/>
        <v>0</v>
      </c>
      <c r="AP17" s="6">
        <f>((U17-V17)*1000*$BJ$8/$BJ$6)</f>
        <v>977.4550275821033</v>
      </c>
      <c r="AQ17" s="9">
        <f t="shared" si="1"/>
        <v>0</v>
      </c>
      <c r="AR17" s="6"/>
      <c r="AS17" s="9">
        <f t="shared" si="2"/>
        <v>0</v>
      </c>
      <c r="AT17" s="6"/>
      <c r="AU17" s="9">
        <f t="shared" si="3"/>
        <v>0</v>
      </c>
      <c r="AV17" s="6"/>
      <c r="AW17" s="9">
        <f t="shared" si="4"/>
        <v>0</v>
      </c>
      <c r="AX17" s="6"/>
      <c r="AY17" s="9">
        <f t="shared" si="5"/>
        <v>0</v>
      </c>
      <c r="AZ17" s="6"/>
      <c r="BA17" s="9">
        <f t="shared" si="6"/>
        <v>0</v>
      </c>
      <c r="BB17" s="6"/>
      <c r="BC17" s="9">
        <f t="shared" si="7"/>
        <v>0</v>
      </c>
      <c r="BD17" s="6"/>
      <c r="BE17" s="9">
        <f t="shared" si="9"/>
        <v>0</v>
      </c>
      <c r="BF17" s="6"/>
      <c r="BG17" s="9">
        <f t="shared" si="10"/>
        <v>0</v>
      </c>
      <c r="BK17" s="76" t="s">
        <v>182</v>
      </c>
      <c r="BL17">
        <f>(0.25*0.25*3.142)*(10/0.25*10/0.25*10/0.25)</f>
        <v>12568</v>
      </c>
      <c r="BM17">
        <f aca="true" t="shared" si="18" ref="BM17:BN22">ROUND(BM$23/$BL$23*$BL17,1)</f>
        <v>357.4</v>
      </c>
      <c r="BN17">
        <f t="shared" si="18"/>
        <v>83.7</v>
      </c>
      <c r="BO17">
        <f aca="true" t="shared" si="19" ref="BO17:BR22">ROUND(BO$23/$BL$23*$BL17,1)</f>
        <v>140.7</v>
      </c>
      <c r="BP17">
        <f t="shared" si="19"/>
        <v>1551.4</v>
      </c>
      <c r="BQ17">
        <f t="shared" si="19"/>
        <v>505.7</v>
      </c>
      <c r="BR17">
        <f t="shared" si="19"/>
        <v>12395.9</v>
      </c>
    </row>
    <row r="18" spans="1:70" s="7" customFormat="1" ht="12.75">
      <c r="A18" s="7" t="s">
        <v>145</v>
      </c>
      <c r="D18" s="71"/>
      <c r="E18" s="35">
        <v>40</v>
      </c>
      <c r="F18" s="35">
        <v>1000</v>
      </c>
      <c r="G18" s="32">
        <f t="shared" si="11"/>
        <v>0</v>
      </c>
      <c r="H18" s="39">
        <v>800</v>
      </c>
      <c r="I18" s="9">
        <f>($D18)*H18</f>
        <v>0</v>
      </c>
      <c r="J18" s="7">
        <f>H18</f>
        <v>800</v>
      </c>
      <c r="O18" s="7">
        <v>0</v>
      </c>
      <c r="Q18" s="7">
        <v>40</v>
      </c>
      <c r="R18"/>
      <c r="S18"/>
      <c r="T18"/>
      <c r="U18" s="7">
        <v>4.5</v>
      </c>
      <c r="V18" s="7">
        <v>0.35</v>
      </c>
      <c r="W18" s="9">
        <f>($D18)*U18</f>
        <v>0</v>
      </c>
      <c r="X18" s="51">
        <v>30</v>
      </c>
      <c r="Y18" s="13"/>
      <c r="Z18" s="13"/>
      <c r="AA18" s="13"/>
      <c r="AB18" s="52">
        <f t="shared" si="13"/>
        <v>0</v>
      </c>
      <c r="AC18" s="51">
        <v>276</v>
      </c>
      <c r="AD18" s="13"/>
      <c r="AE18" s="13"/>
      <c r="AF18" s="52">
        <f t="shared" si="14"/>
        <v>0</v>
      </c>
      <c r="AG18" s="51">
        <v>30</v>
      </c>
      <c r="AH18" s="52">
        <f t="shared" si="15"/>
        <v>0</v>
      </c>
      <c r="AI18" s="51">
        <v>60</v>
      </c>
      <c r="AJ18" s="13"/>
      <c r="AK18" s="52">
        <f t="shared" si="16"/>
        <v>0</v>
      </c>
      <c r="AL18" s="51">
        <f>(U18-V18)*1000*$BJ$3</f>
        <v>1709.426027809812</v>
      </c>
      <c r="AM18" s="13"/>
      <c r="AN18" s="41">
        <f t="shared" si="17"/>
        <v>1709.426027809812</v>
      </c>
      <c r="AO18" s="52">
        <f>($D18)*AL18</f>
        <v>0</v>
      </c>
      <c r="AP18" s="6">
        <f>((U18-V18)*1000*$BJ$8/$BJ$6)</f>
        <v>977.4550275821033</v>
      </c>
      <c r="AQ18" s="9">
        <f t="shared" si="1"/>
        <v>0</v>
      </c>
      <c r="AR18" s="6"/>
      <c r="AS18" s="9">
        <f t="shared" si="2"/>
        <v>0</v>
      </c>
      <c r="AT18" s="6"/>
      <c r="AU18" s="9">
        <f t="shared" si="3"/>
        <v>0</v>
      </c>
      <c r="AV18" s="6"/>
      <c r="AW18" s="9">
        <f t="shared" si="4"/>
        <v>0</v>
      </c>
      <c r="AX18" s="6"/>
      <c r="AY18" s="9">
        <f t="shared" si="5"/>
        <v>0</v>
      </c>
      <c r="AZ18" s="6"/>
      <c r="BA18" s="9">
        <f t="shared" si="6"/>
        <v>0</v>
      </c>
      <c r="BB18" s="6"/>
      <c r="BC18" s="9">
        <f t="shared" si="7"/>
        <v>0</v>
      </c>
      <c r="BD18" s="6"/>
      <c r="BE18" s="9">
        <f t="shared" si="9"/>
        <v>0</v>
      </c>
      <c r="BF18" s="6"/>
      <c r="BG18" s="9">
        <f t="shared" si="10"/>
        <v>0</v>
      </c>
      <c r="BK18" s="86" t="s">
        <v>183</v>
      </c>
      <c r="BL18">
        <f>ROUND((1.25*1.25*3.142)*(10/1.25*10/1.25*10/1.25),0)</f>
        <v>2514</v>
      </c>
      <c r="BM18">
        <f t="shared" si="18"/>
        <v>71.5</v>
      </c>
      <c r="BN18">
        <f t="shared" si="18"/>
        <v>16.7</v>
      </c>
      <c r="BO18">
        <f t="shared" si="19"/>
        <v>28.1</v>
      </c>
      <c r="BP18">
        <f t="shared" si="19"/>
        <v>310.3</v>
      </c>
      <c r="BQ18">
        <f t="shared" si="19"/>
        <v>101.2</v>
      </c>
      <c r="BR18">
        <f t="shared" si="19"/>
        <v>2479.6</v>
      </c>
    </row>
    <row r="19" spans="1:70" s="7" customFormat="1" ht="12.75">
      <c r="A19" s="7" t="s">
        <v>146</v>
      </c>
      <c r="D19" s="71"/>
      <c r="E19" s="35">
        <v>40</v>
      </c>
      <c r="F19" s="35">
        <v>1000</v>
      </c>
      <c r="G19" s="32">
        <f t="shared" si="11"/>
        <v>0</v>
      </c>
      <c r="H19" s="7">
        <v>800</v>
      </c>
      <c r="I19" s="9">
        <f t="shared" si="8"/>
        <v>0</v>
      </c>
      <c r="J19" s="7">
        <f>H19</f>
        <v>800</v>
      </c>
      <c r="L19" s="7">
        <v>25</v>
      </c>
      <c r="M19" s="7">
        <v>40</v>
      </c>
      <c r="N19" s="7">
        <v>5.57</v>
      </c>
      <c r="O19" s="7">
        <v>0</v>
      </c>
      <c r="Q19" s="7">
        <v>50</v>
      </c>
      <c r="R19"/>
      <c r="S19"/>
      <c r="T19"/>
      <c r="U19" s="7">
        <v>4.5</v>
      </c>
      <c r="V19" s="7">
        <v>0.35</v>
      </c>
      <c r="W19" s="9">
        <f t="shared" si="12"/>
        <v>0</v>
      </c>
      <c r="X19" s="51">
        <v>30</v>
      </c>
      <c r="Y19" s="13"/>
      <c r="Z19" s="13"/>
      <c r="AA19" s="13"/>
      <c r="AB19" s="52">
        <f t="shared" si="13"/>
        <v>0</v>
      </c>
      <c r="AC19" s="51">
        <v>275</v>
      </c>
      <c r="AD19" s="13"/>
      <c r="AE19" s="13"/>
      <c r="AF19" s="52">
        <f t="shared" si="14"/>
        <v>0</v>
      </c>
      <c r="AG19" s="51">
        <v>30</v>
      </c>
      <c r="AH19" s="52">
        <f t="shared" si="15"/>
        <v>0</v>
      </c>
      <c r="AI19" s="51">
        <v>60</v>
      </c>
      <c r="AJ19" s="13"/>
      <c r="AK19" s="52">
        <f t="shared" si="16"/>
        <v>0</v>
      </c>
      <c r="AL19" s="51">
        <f>(U19-V19)*1000*BJ3</f>
        <v>1709.426027809812</v>
      </c>
      <c r="AM19" s="13"/>
      <c r="AN19" s="41">
        <f t="shared" si="17"/>
        <v>1709.426027809812</v>
      </c>
      <c r="AO19" s="52">
        <f t="shared" si="0"/>
        <v>0</v>
      </c>
      <c r="AP19" s="6">
        <f>((U19-V19)*1000*$BJ$8/$BJ$6)</f>
        <v>977.4550275821033</v>
      </c>
      <c r="AQ19" s="9">
        <f t="shared" si="1"/>
        <v>0</v>
      </c>
      <c r="AR19" s="6"/>
      <c r="AS19" s="9">
        <f t="shared" si="2"/>
        <v>0</v>
      </c>
      <c r="AT19" s="6"/>
      <c r="AU19" s="9">
        <f t="shared" si="3"/>
        <v>0</v>
      </c>
      <c r="AV19" s="6"/>
      <c r="AW19" s="9">
        <f t="shared" si="4"/>
        <v>0</v>
      </c>
      <c r="AX19" s="6"/>
      <c r="AY19" s="9">
        <f t="shared" si="5"/>
        <v>0</v>
      </c>
      <c r="AZ19" s="6"/>
      <c r="BA19" s="9">
        <f t="shared" si="6"/>
        <v>0</v>
      </c>
      <c r="BB19" s="6"/>
      <c r="BC19" s="9">
        <f t="shared" si="7"/>
        <v>0</v>
      </c>
      <c r="BD19" s="6"/>
      <c r="BE19" s="9">
        <f t="shared" si="9"/>
        <v>0</v>
      </c>
      <c r="BF19" s="6"/>
      <c r="BG19" s="9">
        <f t="shared" si="10"/>
        <v>0</v>
      </c>
      <c r="BK19" s="86" t="s">
        <v>186</v>
      </c>
      <c r="BL19">
        <f>ROUND((3*3*3.142)*(10/3*10/3*10/3),0)</f>
        <v>1047</v>
      </c>
      <c r="BM19">
        <f t="shared" si="18"/>
        <v>29.8</v>
      </c>
      <c r="BN19">
        <f t="shared" si="18"/>
        <v>7</v>
      </c>
      <c r="BO19">
        <f t="shared" si="19"/>
        <v>11.7</v>
      </c>
      <c r="BP19">
        <f t="shared" si="19"/>
        <v>129.2</v>
      </c>
      <c r="BQ19">
        <f t="shared" si="19"/>
        <v>42.1</v>
      </c>
      <c r="BR19">
        <f t="shared" si="19"/>
        <v>1032.7</v>
      </c>
    </row>
    <row r="20" spans="1:70" s="7" customFormat="1" ht="12.75">
      <c r="A20" s="7" t="s">
        <v>178</v>
      </c>
      <c r="D20" s="71"/>
      <c r="E20" s="35">
        <v>40</v>
      </c>
      <c r="F20" s="35">
        <v>1000</v>
      </c>
      <c r="G20" s="32">
        <f t="shared" si="11"/>
        <v>0</v>
      </c>
      <c r="H20" s="39">
        <v>320</v>
      </c>
      <c r="I20" s="9">
        <f t="shared" si="8"/>
        <v>0</v>
      </c>
      <c r="O20" s="7" t="s">
        <v>137</v>
      </c>
      <c r="P20">
        <f>D20*H20*0.91</f>
        <v>0</v>
      </c>
      <c r="R20">
        <f>((0.96*0.64)*20)*D20</f>
        <v>0</v>
      </c>
      <c r="S20">
        <f>ROUND((((20/20.77)*0.44)+((20/22.96)*0.71))/2,2)</f>
        <v>0.52</v>
      </c>
      <c r="T20"/>
      <c r="U20" s="7">
        <f>ROUND(S20*0.65,2)</f>
        <v>0.34</v>
      </c>
      <c r="V20" s="7">
        <f>ROUND(U20*0.66,2)</f>
        <v>0.22</v>
      </c>
      <c r="W20" s="9">
        <f t="shared" si="12"/>
        <v>0</v>
      </c>
      <c r="X20" s="51">
        <v>4</v>
      </c>
      <c r="Y20" s="13"/>
      <c r="Z20" s="13"/>
      <c r="AA20" s="13"/>
      <c r="AB20" s="52">
        <f t="shared" si="13"/>
        <v>0</v>
      </c>
      <c r="AC20" s="51">
        <v>3.6</v>
      </c>
      <c r="AD20" s="13"/>
      <c r="AE20" s="13"/>
      <c r="AF20" s="52">
        <f t="shared" si="14"/>
        <v>0</v>
      </c>
      <c r="AG20" s="51">
        <v>31</v>
      </c>
      <c r="AH20" s="52">
        <f t="shared" si="15"/>
        <v>0</v>
      </c>
      <c r="AI20" s="51">
        <v>110</v>
      </c>
      <c r="AJ20" s="13"/>
      <c r="AK20" s="52">
        <f t="shared" si="16"/>
        <v>0</v>
      </c>
      <c r="AL20" s="51">
        <f aca="true" t="shared" si="20" ref="AL20:AL26">(U20-V20)*1000*$BJ$3</f>
        <v>49.42918634630783</v>
      </c>
      <c r="AM20" s="13"/>
      <c r="AN20" s="41">
        <f t="shared" si="17"/>
        <v>49.42918634630783</v>
      </c>
      <c r="AO20" s="52">
        <f t="shared" si="0"/>
        <v>0</v>
      </c>
      <c r="AP20" s="6">
        <f aca="true" t="shared" si="21" ref="AP20:AP26">70+(U20-V20)*1000*$BJ$8/$BJ$6</f>
        <v>98.26375983369938</v>
      </c>
      <c r="AQ20" s="9">
        <f t="shared" si="1"/>
        <v>0</v>
      </c>
      <c r="AR20" s="6"/>
      <c r="AS20" s="9">
        <f t="shared" si="2"/>
        <v>0</v>
      </c>
      <c r="AT20" s="6">
        <v>2.5</v>
      </c>
      <c r="AU20" s="9">
        <f t="shared" si="3"/>
        <v>0</v>
      </c>
      <c r="AV20" s="6"/>
      <c r="AW20" s="9">
        <f t="shared" si="4"/>
        <v>0</v>
      </c>
      <c r="AX20" s="6"/>
      <c r="AY20" s="9">
        <f t="shared" si="5"/>
        <v>0</v>
      </c>
      <c r="AZ20" s="6"/>
      <c r="BA20" s="9">
        <f t="shared" si="6"/>
        <v>0</v>
      </c>
      <c r="BB20" s="6">
        <v>10</v>
      </c>
      <c r="BC20" s="9">
        <f t="shared" si="7"/>
        <v>0</v>
      </c>
      <c r="BD20" s="6">
        <v>13</v>
      </c>
      <c r="BE20" s="9">
        <f t="shared" si="9"/>
        <v>0</v>
      </c>
      <c r="BF20" s="6">
        <v>102</v>
      </c>
      <c r="BG20" s="9">
        <f t="shared" si="10"/>
        <v>0</v>
      </c>
      <c r="BH20" s="7" t="s">
        <v>112</v>
      </c>
      <c r="BI20" s="7" t="s">
        <v>113</v>
      </c>
      <c r="BK20" s="77" t="s">
        <v>184</v>
      </c>
      <c r="BL20">
        <f>ROUND(BL17*0.3+BL18*0.3+BL19*0.3,0)</f>
        <v>4839</v>
      </c>
      <c r="BM20">
        <f t="shared" si="18"/>
        <v>137.6</v>
      </c>
      <c r="BN20">
        <f t="shared" si="18"/>
        <v>32.2</v>
      </c>
      <c r="BO20">
        <f t="shared" si="19"/>
        <v>54.2</v>
      </c>
      <c r="BP20">
        <f t="shared" si="19"/>
        <v>597.3</v>
      </c>
      <c r="BQ20">
        <f t="shared" si="19"/>
        <v>194.7</v>
      </c>
      <c r="BR20">
        <f t="shared" si="19"/>
        <v>4772.7</v>
      </c>
    </row>
    <row r="21" spans="1:70" s="7" customFormat="1" ht="12.75">
      <c r="A21" s="7" t="s">
        <v>179</v>
      </c>
      <c r="D21" s="71"/>
      <c r="E21" s="35">
        <v>40</v>
      </c>
      <c r="F21" s="35">
        <v>1000</v>
      </c>
      <c r="G21" s="32">
        <f t="shared" si="11"/>
        <v>0</v>
      </c>
      <c r="H21" s="39">
        <v>320</v>
      </c>
      <c r="I21" s="9">
        <f t="shared" si="8"/>
        <v>0</v>
      </c>
      <c r="O21" s="7" t="s">
        <v>137</v>
      </c>
      <c r="P21">
        <f>D21*H21*0.91</f>
        <v>0</v>
      </c>
      <c r="R21">
        <f>((0.66*0.64)*20)*D21</f>
        <v>0</v>
      </c>
      <c r="S21">
        <f>ROUND((20/19.15)*0.39,2)</f>
        <v>0.41</v>
      </c>
      <c r="T21"/>
      <c r="U21" s="7">
        <f>ROUND(S21*0.65,2)</f>
        <v>0.27</v>
      </c>
      <c r="V21" s="7">
        <f>ROUND(U21*0.66,2)</f>
        <v>0.18</v>
      </c>
      <c r="W21" s="9">
        <f t="shared" si="12"/>
        <v>0</v>
      </c>
      <c r="X21" s="51">
        <v>3.5</v>
      </c>
      <c r="Y21" s="13"/>
      <c r="Z21" s="13"/>
      <c r="AA21" s="13"/>
      <c r="AB21" s="52">
        <f t="shared" si="13"/>
        <v>0</v>
      </c>
      <c r="AC21" s="51">
        <v>3.3</v>
      </c>
      <c r="AD21" s="13"/>
      <c r="AE21" s="13"/>
      <c r="AF21" s="52">
        <f t="shared" si="14"/>
        <v>0</v>
      </c>
      <c r="AG21" s="51">
        <v>28</v>
      </c>
      <c r="AH21" s="52">
        <f t="shared" si="15"/>
        <v>0</v>
      </c>
      <c r="AI21" s="51">
        <v>85</v>
      </c>
      <c r="AJ21" s="13"/>
      <c r="AK21" s="52">
        <f t="shared" si="16"/>
        <v>0</v>
      </c>
      <c r="AL21" s="51">
        <f t="shared" si="20"/>
        <v>37.07188975973087</v>
      </c>
      <c r="AM21" s="13"/>
      <c r="AN21" s="41">
        <f t="shared" si="17"/>
        <v>37.07188975973087</v>
      </c>
      <c r="AO21" s="52">
        <f t="shared" si="0"/>
        <v>0</v>
      </c>
      <c r="AP21" s="6">
        <f t="shared" si="21"/>
        <v>91.19781987527455</v>
      </c>
      <c r="AQ21" s="9">
        <f t="shared" si="1"/>
        <v>0</v>
      </c>
      <c r="AR21" s="6"/>
      <c r="AS21" s="9">
        <f t="shared" si="2"/>
        <v>0</v>
      </c>
      <c r="AT21" s="6">
        <v>2.5</v>
      </c>
      <c r="AU21" s="9">
        <f t="shared" si="3"/>
        <v>0</v>
      </c>
      <c r="AV21" s="6"/>
      <c r="AW21" s="9">
        <f t="shared" si="4"/>
        <v>0</v>
      </c>
      <c r="AX21" s="6"/>
      <c r="AY21" s="9">
        <f t="shared" si="5"/>
        <v>0</v>
      </c>
      <c r="AZ21" s="6"/>
      <c r="BA21" s="9">
        <f t="shared" si="6"/>
        <v>0</v>
      </c>
      <c r="BB21" s="6">
        <v>10</v>
      </c>
      <c r="BC21" s="9">
        <f t="shared" si="7"/>
        <v>0</v>
      </c>
      <c r="BD21" s="6">
        <v>11</v>
      </c>
      <c r="BE21" s="9">
        <f t="shared" si="9"/>
        <v>0</v>
      </c>
      <c r="BF21" s="6">
        <v>81</v>
      </c>
      <c r="BG21" s="9">
        <f t="shared" si="10"/>
        <v>0</v>
      </c>
      <c r="BH21" s="7">
        <f>((BJ12*2)+(BK12*5))/(BJ12)</f>
        <v>4.582649964486344</v>
      </c>
      <c r="BI21" s="7">
        <f>((BK10*2+BK12)/2)/BK10</f>
        <v>1.204599688477504</v>
      </c>
      <c r="BK21" s="77" t="s">
        <v>201</v>
      </c>
      <c r="BL21" s="7">
        <f>ROUND(5.15*5.15*3.142*(10/5.15*10/5.15*10/5.15),0)</f>
        <v>610</v>
      </c>
      <c r="BM21">
        <f t="shared" si="18"/>
        <v>17.3</v>
      </c>
      <c r="BN21">
        <f t="shared" si="18"/>
        <v>4.1</v>
      </c>
      <c r="BO21">
        <f t="shared" si="19"/>
        <v>6.8</v>
      </c>
      <c r="BP21">
        <f t="shared" si="19"/>
        <v>75.3</v>
      </c>
      <c r="BQ21">
        <f t="shared" si="19"/>
        <v>24.5</v>
      </c>
      <c r="BR21">
        <f t="shared" si="19"/>
        <v>601.6</v>
      </c>
    </row>
    <row r="22" spans="1:70" s="7" customFormat="1" ht="12.75">
      <c r="A22" s="7" t="s">
        <v>180</v>
      </c>
      <c r="D22" s="71"/>
      <c r="E22" s="35">
        <v>40</v>
      </c>
      <c r="F22" s="35">
        <v>1000</v>
      </c>
      <c r="G22" s="32">
        <f t="shared" si="11"/>
        <v>0</v>
      </c>
      <c r="H22" s="39">
        <v>320</v>
      </c>
      <c r="I22" s="9">
        <f t="shared" si="8"/>
        <v>0</v>
      </c>
      <c r="O22" s="7" t="s">
        <v>137</v>
      </c>
      <c r="P22">
        <f>D22*H22*0.91</f>
        <v>0</v>
      </c>
      <c r="R22">
        <f>((0.57*0.64)*20)*D22</f>
        <v>0</v>
      </c>
      <c r="S22">
        <f>ROUND((20/11.07)*0.19,2)</f>
        <v>0.34</v>
      </c>
      <c r="T22"/>
      <c r="U22" s="7">
        <f>ROUND(S22*0.65,2)</f>
        <v>0.22</v>
      </c>
      <c r="V22" s="7">
        <f>ROUND(U22*0.66,2)</f>
        <v>0.15</v>
      </c>
      <c r="W22" s="9">
        <f t="shared" si="12"/>
        <v>0</v>
      </c>
      <c r="X22" s="51">
        <v>3</v>
      </c>
      <c r="Y22" s="13"/>
      <c r="Z22" s="13"/>
      <c r="AA22" s="13"/>
      <c r="AB22" s="52">
        <f t="shared" si="13"/>
        <v>0</v>
      </c>
      <c r="AC22" s="51">
        <v>3</v>
      </c>
      <c r="AD22" s="13"/>
      <c r="AE22" s="13"/>
      <c r="AF22" s="52">
        <f t="shared" si="14"/>
        <v>0</v>
      </c>
      <c r="AG22" s="51">
        <v>25</v>
      </c>
      <c r="AH22" s="52">
        <f t="shared" si="15"/>
        <v>0</v>
      </c>
      <c r="AI22" s="51">
        <v>70</v>
      </c>
      <c r="AJ22" s="13"/>
      <c r="AK22" s="52">
        <f t="shared" si="16"/>
        <v>0</v>
      </c>
      <c r="AL22" s="51">
        <f t="shared" si="20"/>
        <v>28.833692035346225</v>
      </c>
      <c r="AM22" s="13"/>
      <c r="AN22" s="41">
        <f t="shared" si="17"/>
        <v>28.833692035346225</v>
      </c>
      <c r="AO22" s="52">
        <f t="shared" si="0"/>
        <v>0</v>
      </c>
      <c r="AP22" s="6">
        <f t="shared" si="21"/>
        <v>86.48719323632463</v>
      </c>
      <c r="AQ22" s="9">
        <f t="shared" si="1"/>
        <v>0</v>
      </c>
      <c r="AR22" s="6"/>
      <c r="AS22" s="9">
        <f t="shared" si="2"/>
        <v>0</v>
      </c>
      <c r="AT22" s="6">
        <v>2.5</v>
      </c>
      <c r="AU22" s="9">
        <f t="shared" si="3"/>
        <v>0</v>
      </c>
      <c r="AV22" s="6"/>
      <c r="AW22" s="9">
        <f t="shared" si="4"/>
        <v>0</v>
      </c>
      <c r="AX22" s="6"/>
      <c r="AY22" s="9">
        <f t="shared" si="5"/>
        <v>0</v>
      </c>
      <c r="AZ22" s="6"/>
      <c r="BA22" s="9">
        <f t="shared" si="6"/>
        <v>0</v>
      </c>
      <c r="BB22" s="6">
        <v>10</v>
      </c>
      <c r="BC22" s="9">
        <f t="shared" si="7"/>
        <v>0</v>
      </c>
      <c r="BD22" s="6">
        <v>9</v>
      </c>
      <c r="BE22" s="9">
        <f t="shared" si="9"/>
        <v>0</v>
      </c>
      <c r="BF22" s="6">
        <v>66</v>
      </c>
      <c r="BG22" s="9">
        <f t="shared" si="10"/>
        <v>0</v>
      </c>
      <c r="BK22" s="77" t="s">
        <v>204</v>
      </c>
      <c r="BL22" s="7">
        <f>ROUND(7.15*7.15*3.142*(10/7.15*10/7.15*10/7.15),0)</f>
        <v>439</v>
      </c>
      <c r="BM22">
        <f t="shared" si="18"/>
        <v>12.5</v>
      </c>
      <c r="BN22">
        <f t="shared" si="18"/>
        <v>2.9</v>
      </c>
      <c r="BO22">
        <f t="shared" si="19"/>
        <v>4.9</v>
      </c>
      <c r="BP22">
        <f t="shared" si="19"/>
        <v>54.2</v>
      </c>
      <c r="BQ22">
        <f t="shared" si="19"/>
        <v>17.7</v>
      </c>
      <c r="BR22">
        <f t="shared" si="19"/>
        <v>433</v>
      </c>
    </row>
    <row r="23" spans="1:70" s="7" customFormat="1" ht="12.75">
      <c r="A23" s="7" t="s">
        <v>181</v>
      </c>
      <c r="D23" s="71"/>
      <c r="E23" s="35">
        <v>40</v>
      </c>
      <c r="F23" s="35">
        <v>1000</v>
      </c>
      <c r="G23" s="39">
        <f>D23*E23/F23</f>
        <v>0</v>
      </c>
      <c r="H23" s="39">
        <v>320</v>
      </c>
      <c r="I23" s="9">
        <f t="shared" si="8"/>
        <v>0</v>
      </c>
      <c r="P23"/>
      <c r="R23"/>
      <c r="S23">
        <f>ROUND((20/11.07)*0.19,2)</f>
        <v>0.34</v>
      </c>
      <c r="T23"/>
      <c r="U23" s="7">
        <f>ROUND(S23*0.65,2)</f>
        <v>0.22</v>
      </c>
      <c r="V23" s="7">
        <f>ROUND(U23*0.66,2)</f>
        <v>0.15</v>
      </c>
      <c r="W23" s="9">
        <f t="shared" si="12"/>
        <v>0</v>
      </c>
      <c r="X23" s="51">
        <v>3</v>
      </c>
      <c r="Y23" s="13"/>
      <c r="Z23" s="13"/>
      <c r="AA23" s="13"/>
      <c r="AB23" s="52">
        <f t="shared" si="13"/>
        <v>0</v>
      </c>
      <c r="AC23" s="51">
        <v>3</v>
      </c>
      <c r="AD23" s="13"/>
      <c r="AE23" s="13"/>
      <c r="AF23" s="52">
        <f t="shared" si="14"/>
        <v>0</v>
      </c>
      <c r="AG23" s="51">
        <v>25</v>
      </c>
      <c r="AH23" s="52">
        <f t="shared" si="15"/>
        <v>0</v>
      </c>
      <c r="AI23" s="51">
        <v>70</v>
      </c>
      <c r="AJ23" s="13"/>
      <c r="AK23" s="52">
        <f t="shared" si="16"/>
        <v>0</v>
      </c>
      <c r="AL23" s="51">
        <f t="shared" si="20"/>
        <v>28.833692035346225</v>
      </c>
      <c r="AM23" s="13"/>
      <c r="AN23" s="41">
        <f t="shared" si="17"/>
        <v>28.833692035346225</v>
      </c>
      <c r="AO23" s="52">
        <f t="shared" si="0"/>
        <v>0</v>
      </c>
      <c r="AP23" s="6">
        <f t="shared" si="21"/>
        <v>86.48719323632463</v>
      </c>
      <c r="AQ23" s="9">
        <f t="shared" si="1"/>
        <v>0</v>
      </c>
      <c r="AR23" s="6"/>
      <c r="AS23" s="9">
        <f t="shared" si="2"/>
        <v>0</v>
      </c>
      <c r="AT23" s="6">
        <v>2.5</v>
      </c>
      <c r="AU23" s="9">
        <f t="shared" si="3"/>
        <v>0</v>
      </c>
      <c r="AV23" s="6"/>
      <c r="AW23" s="9">
        <f t="shared" si="4"/>
        <v>0</v>
      </c>
      <c r="AX23" s="6"/>
      <c r="AY23" s="9">
        <f t="shared" si="5"/>
        <v>0</v>
      </c>
      <c r="AZ23" s="6"/>
      <c r="BA23" s="9">
        <f t="shared" si="6"/>
        <v>0</v>
      </c>
      <c r="BB23" s="6">
        <v>10</v>
      </c>
      <c r="BC23" s="9">
        <f t="shared" si="7"/>
        <v>0</v>
      </c>
      <c r="BD23" s="6">
        <v>9</v>
      </c>
      <c r="BE23" s="9">
        <f t="shared" si="9"/>
        <v>0</v>
      </c>
      <c r="BF23" s="6">
        <v>66</v>
      </c>
      <c r="BG23" s="9">
        <f t="shared" si="10"/>
        <v>0</v>
      </c>
      <c r="BJ23" s="71" t="s">
        <v>203</v>
      </c>
      <c r="BK23" s="88" t="s">
        <v>205</v>
      </c>
      <c r="BL23" s="71">
        <f>BL17*0.19+BL18*0.13+BL19*0.42+BL21*0.24+BL22*0.01</f>
        <v>3305.2700000000004</v>
      </c>
      <c r="BM23" s="71">
        <v>94</v>
      </c>
      <c r="BN23" s="71">
        <v>22</v>
      </c>
      <c r="BO23" s="71">
        <v>37</v>
      </c>
      <c r="BP23" s="71">
        <v>408</v>
      </c>
      <c r="BQ23" s="71">
        <v>133</v>
      </c>
      <c r="BR23" s="71">
        <v>3260</v>
      </c>
    </row>
    <row r="24" spans="1:66" s="7" customFormat="1" ht="12.75">
      <c r="A24" s="7" t="s">
        <v>172</v>
      </c>
      <c r="D24" s="71"/>
      <c r="E24" s="35">
        <v>40</v>
      </c>
      <c r="F24" s="35">
        <v>1000</v>
      </c>
      <c r="G24" s="39">
        <f>D24*E24/F24</f>
        <v>0</v>
      </c>
      <c r="H24" s="39">
        <v>320</v>
      </c>
      <c r="I24" s="9">
        <f t="shared" si="8"/>
        <v>0</v>
      </c>
      <c r="P24"/>
      <c r="R24"/>
      <c r="S24">
        <f>ROUND((20/11.07)*0.19,2)</f>
        <v>0.34</v>
      </c>
      <c r="T24"/>
      <c r="U24" s="7">
        <v>0.15</v>
      </c>
      <c r="V24" s="7">
        <f>ROUND(U24*0.66,2)</f>
        <v>0.1</v>
      </c>
      <c r="W24" s="9">
        <f t="shared" si="12"/>
        <v>0</v>
      </c>
      <c r="X24" s="51">
        <v>3</v>
      </c>
      <c r="Y24" s="13"/>
      <c r="Z24" s="13"/>
      <c r="AA24" s="13"/>
      <c r="AB24" s="52">
        <f t="shared" si="13"/>
        <v>0</v>
      </c>
      <c r="AC24" s="51">
        <v>3</v>
      </c>
      <c r="AD24" s="13"/>
      <c r="AE24" s="13"/>
      <c r="AF24" s="52">
        <f t="shared" si="14"/>
        <v>0</v>
      </c>
      <c r="AG24" s="51">
        <v>25</v>
      </c>
      <c r="AH24" s="52">
        <f t="shared" si="15"/>
        <v>0</v>
      </c>
      <c r="AI24" s="51">
        <v>70</v>
      </c>
      <c r="AJ24" s="13"/>
      <c r="AK24" s="52">
        <f t="shared" si="16"/>
        <v>0</v>
      </c>
      <c r="AL24" s="51">
        <f t="shared" si="20"/>
        <v>20.595494310961584</v>
      </c>
      <c r="AM24" s="13"/>
      <c r="AN24" s="41">
        <f t="shared" si="17"/>
        <v>20.595494310961584</v>
      </c>
      <c r="AO24" s="52">
        <f t="shared" si="0"/>
        <v>0</v>
      </c>
      <c r="AP24" s="6">
        <f t="shared" si="21"/>
        <v>81.77656659737474</v>
      </c>
      <c r="AQ24" s="9">
        <f t="shared" si="1"/>
        <v>0</v>
      </c>
      <c r="AR24" s="6"/>
      <c r="AS24" s="9">
        <f t="shared" si="2"/>
        <v>0</v>
      </c>
      <c r="AT24" s="6">
        <v>2.5</v>
      </c>
      <c r="AU24" s="9">
        <f t="shared" si="3"/>
        <v>0</v>
      </c>
      <c r="AV24" s="6"/>
      <c r="AW24" s="9">
        <f t="shared" si="4"/>
        <v>0</v>
      </c>
      <c r="AX24" s="6"/>
      <c r="AY24" s="9">
        <f t="shared" si="5"/>
        <v>0</v>
      </c>
      <c r="AZ24" s="6"/>
      <c r="BA24" s="9">
        <f t="shared" si="6"/>
        <v>0</v>
      </c>
      <c r="BB24" s="6">
        <v>10</v>
      </c>
      <c r="BC24" s="9">
        <f t="shared" si="7"/>
        <v>0</v>
      </c>
      <c r="BD24" s="6">
        <v>9</v>
      </c>
      <c r="BE24" s="9">
        <f t="shared" si="9"/>
        <v>0</v>
      </c>
      <c r="BF24" s="6">
        <v>66</v>
      </c>
      <c r="BG24" s="9">
        <f t="shared" si="10"/>
        <v>0</v>
      </c>
      <c r="BK24" s="77"/>
      <c r="BN24"/>
    </row>
    <row r="25" spans="1:65" s="7" customFormat="1" ht="12.75">
      <c r="A25" s="7" t="s">
        <v>50</v>
      </c>
      <c r="D25" s="71"/>
      <c r="E25" s="35">
        <v>40</v>
      </c>
      <c r="F25" s="35">
        <v>1000</v>
      </c>
      <c r="G25" s="32">
        <f t="shared" si="11"/>
        <v>0</v>
      </c>
      <c r="H25" s="7">
        <v>210</v>
      </c>
      <c r="I25" s="9">
        <f t="shared" si="8"/>
        <v>0</v>
      </c>
      <c r="J25" s="7">
        <v>210</v>
      </c>
      <c r="N25" s="7">
        <v>5.5</v>
      </c>
      <c r="O25" s="7" t="s">
        <v>137</v>
      </c>
      <c r="P25">
        <f>D25*H25*0.91</f>
        <v>0</v>
      </c>
      <c r="Q25" s="7">
        <v>35</v>
      </c>
      <c r="R25">
        <f>(((0.165+0.14)*0.65)*20)*D25</f>
        <v>0</v>
      </c>
      <c r="S25">
        <v>0.35</v>
      </c>
      <c r="T25"/>
      <c r="U25" s="7">
        <f>ROUND(S25*0.65,2)</f>
        <v>0.23</v>
      </c>
      <c r="V25" s="7">
        <v>0.23</v>
      </c>
      <c r="W25" s="9">
        <f>($D25)*U25</f>
        <v>0</v>
      </c>
      <c r="X25" s="51">
        <v>5</v>
      </c>
      <c r="Y25" s="13"/>
      <c r="Z25" s="13"/>
      <c r="AA25" s="13"/>
      <c r="AB25" s="52">
        <f t="shared" si="13"/>
        <v>0</v>
      </c>
      <c r="AC25" s="51">
        <v>5</v>
      </c>
      <c r="AD25" s="13"/>
      <c r="AE25" s="13"/>
      <c r="AF25" s="52">
        <f t="shared" si="14"/>
        <v>0</v>
      </c>
      <c r="AG25" s="51">
        <v>25</v>
      </c>
      <c r="AH25" s="52">
        <f t="shared" si="15"/>
        <v>0</v>
      </c>
      <c r="AI25" s="51">
        <v>200</v>
      </c>
      <c r="AJ25" s="13"/>
      <c r="AK25" s="52">
        <f t="shared" si="16"/>
        <v>0</v>
      </c>
      <c r="AL25" s="51">
        <f t="shared" si="20"/>
        <v>0</v>
      </c>
      <c r="AM25" s="13"/>
      <c r="AN25" s="41">
        <f t="shared" si="17"/>
        <v>0</v>
      </c>
      <c r="AO25" s="52">
        <f t="shared" si="0"/>
        <v>0</v>
      </c>
      <c r="AP25" s="6">
        <f t="shared" si="21"/>
        <v>70</v>
      </c>
      <c r="AQ25" s="9">
        <f t="shared" si="1"/>
        <v>0</v>
      </c>
      <c r="AR25" s="6"/>
      <c r="AS25" s="9">
        <f t="shared" si="2"/>
        <v>0</v>
      </c>
      <c r="AT25" s="6">
        <v>2.5</v>
      </c>
      <c r="AU25" s="9">
        <f t="shared" si="3"/>
        <v>0</v>
      </c>
      <c r="AV25" s="6"/>
      <c r="AW25" s="9">
        <f t="shared" si="4"/>
        <v>0</v>
      </c>
      <c r="AX25" s="6"/>
      <c r="AY25" s="9">
        <f t="shared" si="5"/>
        <v>0</v>
      </c>
      <c r="AZ25" s="6"/>
      <c r="BA25" s="9">
        <f t="shared" si="6"/>
        <v>0</v>
      </c>
      <c r="BB25" s="6">
        <v>10</v>
      </c>
      <c r="BC25" s="9">
        <f t="shared" si="7"/>
        <v>0</v>
      </c>
      <c r="BD25" s="6">
        <v>10</v>
      </c>
      <c r="BE25" s="9">
        <f t="shared" si="9"/>
        <v>0</v>
      </c>
      <c r="BF25" s="6">
        <v>70</v>
      </c>
      <c r="BG25" s="9">
        <f t="shared" si="10"/>
        <v>0</v>
      </c>
      <c r="BK25" t="s">
        <v>199</v>
      </c>
      <c r="BL25">
        <f>BK10+BK12+BK12</f>
        <v>71.0963</v>
      </c>
      <c r="BM25" t="s">
        <v>126</v>
      </c>
    </row>
    <row r="26" spans="1:65" s="7" customFormat="1" ht="12.75">
      <c r="A26" s="7" t="s">
        <v>147</v>
      </c>
      <c r="D26" s="71"/>
      <c r="E26" s="35">
        <v>40</v>
      </c>
      <c r="F26" s="35">
        <v>1000</v>
      </c>
      <c r="G26" s="39">
        <f t="shared" si="11"/>
        <v>0</v>
      </c>
      <c r="H26" s="7">
        <v>200</v>
      </c>
      <c r="I26" s="9">
        <f t="shared" si="8"/>
        <v>0</v>
      </c>
      <c r="O26" s="7" t="s">
        <v>137</v>
      </c>
      <c r="P26">
        <f>D26*H26*0.91</f>
        <v>0</v>
      </c>
      <c r="R26">
        <f>(0.165*20*0.65)*D26</f>
        <v>0</v>
      </c>
      <c r="S26">
        <v>0.36</v>
      </c>
      <c r="T26"/>
      <c r="U26" s="7">
        <f>S26*0.65</f>
        <v>0.23399999999999999</v>
      </c>
      <c r="V26" s="7">
        <f>U26</f>
        <v>0.23399999999999999</v>
      </c>
      <c r="W26" s="9">
        <f>($D26)*U26</f>
        <v>0</v>
      </c>
      <c r="X26" s="51">
        <v>5</v>
      </c>
      <c r="Y26" s="13"/>
      <c r="Z26" s="13"/>
      <c r="AA26" s="13"/>
      <c r="AB26" s="52">
        <f t="shared" si="13"/>
        <v>0</v>
      </c>
      <c r="AC26" s="51">
        <v>5</v>
      </c>
      <c r="AD26" s="13"/>
      <c r="AE26" s="13"/>
      <c r="AF26" s="52">
        <f t="shared" si="14"/>
        <v>0</v>
      </c>
      <c r="AG26" s="51">
        <v>25</v>
      </c>
      <c r="AH26" s="52">
        <f t="shared" si="15"/>
        <v>0</v>
      </c>
      <c r="AI26" s="51">
        <v>200</v>
      </c>
      <c r="AJ26" s="13"/>
      <c r="AK26" s="52">
        <f t="shared" si="16"/>
        <v>0</v>
      </c>
      <c r="AL26" s="51">
        <f t="shared" si="20"/>
        <v>0</v>
      </c>
      <c r="AM26" s="13"/>
      <c r="AN26" s="41">
        <f t="shared" si="17"/>
        <v>0</v>
      </c>
      <c r="AO26" s="52">
        <f t="shared" si="0"/>
        <v>0</v>
      </c>
      <c r="AP26" s="6">
        <f t="shared" si="21"/>
        <v>70</v>
      </c>
      <c r="AQ26" s="9">
        <f t="shared" si="1"/>
        <v>0</v>
      </c>
      <c r="AR26" s="6"/>
      <c r="AS26" s="9">
        <f t="shared" si="2"/>
        <v>0</v>
      </c>
      <c r="AT26" s="6">
        <v>2.5</v>
      </c>
      <c r="AU26" s="9">
        <f t="shared" si="3"/>
        <v>0</v>
      </c>
      <c r="AV26" s="6"/>
      <c r="AW26" s="9">
        <f t="shared" si="4"/>
        <v>0</v>
      </c>
      <c r="AX26" s="6"/>
      <c r="AY26" s="9">
        <f t="shared" si="5"/>
        <v>0</v>
      </c>
      <c r="AZ26" s="6"/>
      <c r="BA26" s="9">
        <f t="shared" si="6"/>
        <v>0</v>
      </c>
      <c r="BB26" s="6">
        <v>10</v>
      </c>
      <c r="BC26" s="9">
        <f t="shared" si="7"/>
        <v>0</v>
      </c>
      <c r="BD26" s="6">
        <v>10</v>
      </c>
      <c r="BE26" s="9">
        <f t="shared" si="9"/>
        <v>0</v>
      </c>
      <c r="BF26" s="6">
        <v>70</v>
      </c>
      <c r="BG26" s="9">
        <f t="shared" si="10"/>
        <v>0</v>
      </c>
      <c r="BK26" t="s">
        <v>200</v>
      </c>
      <c r="BL26">
        <f>ROUND(BL25/2,2)</f>
        <v>35.55</v>
      </c>
      <c r="BM26" t="s">
        <v>126</v>
      </c>
    </row>
    <row r="27" spans="1:65" s="83" customFormat="1" ht="12.75">
      <c r="A27" s="83" t="s">
        <v>117</v>
      </c>
      <c r="E27" s="84"/>
      <c r="F27" s="84"/>
      <c r="G27" s="85"/>
      <c r="X27" s="78"/>
      <c r="Y27" s="79"/>
      <c r="Z27" s="79"/>
      <c r="AA27" s="79"/>
      <c r="AB27" s="80">
        <f t="shared" si="13"/>
        <v>0</v>
      </c>
      <c r="AC27" s="78"/>
      <c r="AD27" s="79"/>
      <c r="AE27" s="79"/>
      <c r="AF27" s="80">
        <f t="shared" si="14"/>
        <v>0</v>
      </c>
      <c r="AG27" s="78"/>
      <c r="AH27" s="80">
        <f t="shared" si="15"/>
        <v>0</v>
      </c>
      <c r="AI27" s="78"/>
      <c r="AJ27" s="79"/>
      <c r="AK27" s="80">
        <f t="shared" si="16"/>
        <v>0</v>
      </c>
      <c r="AL27" s="78"/>
      <c r="AM27" s="79"/>
      <c r="AN27" s="81"/>
      <c r="AO27" s="80">
        <f>($D27)*AL27</f>
        <v>0</v>
      </c>
      <c r="AQ27" s="83">
        <f t="shared" si="1"/>
        <v>0</v>
      </c>
      <c r="AS27" s="83">
        <f t="shared" si="2"/>
        <v>0</v>
      </c>
      <c r="AU27" s="83">
        <f t="shared" si="3"/>
        <v>0</v>
      </c>
      <c r="AW27" s="83">
        <f t="shared" si="4"/>
        <v>0</v>
      </c>
      <c r="AY27" s="83">
        <f t="shared" si="5"/>
        <v>0</v>
      </c>
      <c r="BA27" s="83">
        <f t="shared" si="6"/>
        <v>0</v>
      </c>
      <c r="BC27" s="83">
        <f t="shared" si="7"/>
        <v>0</v>
      </c>
      <c r="BE27" s="83">
        <f t="shared" si="9"/>
        <v>0</v>
      </c>
      <c r="BG27" s="83">
        <f t="shared" si="10"/>
        <v>0</v>
      </c>
      <c r="BK27" s="83" t="s">
        <v>208</v>
      </c>
      <c r="BL27" s="83">
        <v>35.55</v>
      </c>
      <c r="BM27" s="83" t="s">
        <v>209</v>
      </c>
    </row>
    <row r="28" spans="1:65" ht="12.75">
      <c r="A28" t="s">
        <v>163</v>
      </c>
      <c r="B28">
        <v>75</v>
      </c>
      <c r="D28" s="71"/>
      <c r="E28" s="27">
        <v>47.79</v>
      </c>
      <c r="F28" s="27">
        <v>15.8</v>
      </c>
      <c r="G28" s="32">
        <f>D28*E28/F28/1000</f>
        <v>0</v>
      </c>
      <c r="H28">
        <v>1580</v>
      </c>
      <c r="I28" s="9"/>
      <c r="J28">
        <v>1580</v>
      </c>
      <c r="W28" s="9">
        <f>($D28)*U28</f>
        <v>0</v>
      </c>
      <c r="X28" s="51"/>
      <c r="Y28" s="13"/>
      <c r="Z28" s="13"/>
      <c r="AA28" s="13"/>
      <c r="AB28" s="52">
        <f aca="true" t="shared" si="22" ref="AB28:AB50">X28*D$51</f>
        <v>0</v>
      </c>
      <c r="AC28" s="51">
        <f>(D28/1000*BK58)*1000/D51</f>
        <v>0</v>
      </c>
      <c r="AD28" s="13">
        <f>(D28/1000*BK58)*1000/D51</f>
        <v>0</v>
      </c>
      <c r="AE28" s="13"/>
      <c r="AF28" s="52">
        <f aca="true" t="shared" si="23" ref="AF28:AF33">AC28*$D$51</f>
        <v>0</v>
      </c>
      <c r="AG28" s="51"/>
      <c r="AH28" s="52">
        <f aca="true" t="shared" si="24" ref="AH28:AH39">AG28*$D$51</f>
        <v>0</v>
      </c>
      <c r="AI28" s="51"/>
      <c r="AJ28" s="13"/>
      <c r="AK28" s="52">
        <f aca="true" t="shared" si="25" ref="AK28:AK50">AI28*$D$51</f>
        <v>0</v>
      </c>
      <c r="AL28" s="51"/>
      <c r="AM28" s="13"/>
      <c r="AN28" s="41"/>
      <c r="AO28" s="52">
        <f aca="true" t="shared" si="26" ref="AO28:AO50">AL28*$D$51</f>
        <v>0</v>
      </c>
      <c r="AP28" s="6"/>
      <c r="AQ28" s="11">
        <f aca="true" t="shared" si="27" ref="AQ28:AQ50">AP28*$D$51</f>
        <v>0</v>
      </c>
      <c r="AR28" s="13"/>
      <c r="AS28" s="11">
        <f aca="true" t="shared" si="28" ref="AS28:AS50">AR28*$D$51</f>
        <v>0</v>
      </c>
      <c r="AT28" s="6"/>
      <c r="AU28" s="11">
        <f>AT28*$D$51</f>
        <v>0</v>
      </c>
      <c r="AV28" s="6"/>
      <c r="AW28" s="11">
        <f>AV28*$D$51</f>
        <v>0</v>
      </c>
      <c r="AX28" s="6"/>
      <c r="AY28" s="11">
        <f>AX28*$D$51</f>
        <v>0</v>
      </c>
      <c r="AZ28" s="6"/>
      <c r="BA28" s="11">
        <f>AZ28*$D$51</f>
        <v>0</v>
      </c>
      <c r="BB28" s="6"/>
      <c r="BC28" s="11">
        <f>BB28*$D$51</f>
        <v>0</v>
      </c>
      <c r="BD28" s="6"/>
      <c r="BE28" s="11">
        <f>BD28*$D$51</f>
        <v>0</v>
      </c>
      <c r="BF28" s="6"/>
      <c r="BG28" s="11">
        <f>BF28*$D$51</f>
        <v>0</v>
      </c>
      <c r="BK28" s="83" t="s">
        <v>208</v>
      </c>
      <c r="BL28">
        <v>22.99</v>
      </c>
      <c r="BM28" t="s">
        <v>211</v>
      </c>
    </row>
    <row r="29" spans="1:64" ht="12.75">
      <c r="A29" t="s">
        <v>164</v>
      </c>
      <c r="B29">
        <v>38</v>
      </c>
      <c r="D29" s="71"/>
      <c r="E29" s="27">
        <v>11.9</v>
      </c>
      <c r="F29" s="27">
        <v>12.85</v>
      </c>
      <c r="G29" s="32">
        <f>D29*E29/F29/1000</f>
        <v>0</v>
      </c>
      <c r="H29">
        <v>1285</v>
      </c>
      <c r="I29" s="9"/>
      <c r="J29">
        <v>1285</v>
      </c>
      <c r="W29" s="9">
        <f>($D29)*U29</f>
        <v>0</v>
      </c>
      <c r="X29" s="51"/>
      <c r="Y29" s="13"/>
      <c r="Z29" s="13"/>
      <c r="AA29" s="13"/>
      <c r="AB29" s="52">
        <f t="shared" si="22"/>
        <v>0</v>
      </c>
      <c r="AC29" s="51"/>
      <c r="AD29" s="13"/>
      <c r="AE29" s="13"/>
      <c r="AF29" s="52">
        <f t="shared" si="23"/>
        <v>0</v>
      </c>
      <c r="AG29" s="51"/>
      <c r="AH29" s="52">
        <f t="shared" si="24"/>
        <v>0</v>
      </c>
      <c r="AI29" s="51"/>
      <c r="AJ29" s="13"/>
      <c r="AK29" s="52">
        <f t="shared" si="25"/>
        <v>0</v>
      </c>
      <c r="AL29" s="51"/>
      <c r="AM29" s="13"/>
      <c r="AN29" s="41"/>
      <c r="AO29" s="52">
        <f t="shared" si="26"/>
        <v>0</v>
      </c>
      <c r="AP29" s="6">
        <f>(D29/1000*BK65)*1000/D51</f>
        <v>0</v>
      </c>
      <c r="AQ29" s="11">
        <f t="shared" si="27"/>
        <v>0</v>
      </c>
      <c r="AR29" s="13"/>
      <c r="AS29" s="11">
        <f t="shared" si="28"/>
        <v>0</v>
      </c>
      <c r="AT29" s="6"/>
      <c r="AU29" s="11">
        <f aca="true" t="shared" si="29" ref="AU29:AU50">AT29*$D$51</f>
        <v>0</v>
      </c>
      <c r="AV29" s="6"/>
      <c r="AW29" s="11">
        <f aca="true" t="shared" si="30" ref="AW29:AW50">AV29*$D$51</f>
        <v>0</v>
      </c>
      <c r="AX29" s="6"/>
      <c r="AY29" s="11">
        <f aca="true" t="shared" si="31" ref="AY29:AY50">AX29*$D$51</f>
        <v>0</v>
      </c>
      <c r="AZ29" s="6"/>
      <c r="BA29" s="11">
        <f aca="true" t="shared" si="32" ref="BA29:BA50">AZ29*$D$51</f>
        <v>0</v>
      </c>
      <c r="BB29" s="6"/>
      <c r="BC29" s="11">
        <f aca="true" t="shared" si="33" ref="BC29:BC50">BB29*$D$51</f>
        <v>0</v>
      </c>
      <c r="BD29" s="6"/>
      <c r="BE29" s="11">
        <f aca="true" t="shared" si="34" ref="BE29:BE50">BD29*$D$51</f>
        <v>0</v>
      </c>
      <c r="BF29" s="6"/>
      <c r="BG29" s="11">
        <f aca="true" t="shared" si="35" ref="BG29:BG50">BF29*$D$51</f>
        <v>0</v>
      </c>
      <c r="BL29" s="7"/>
    </row>
    <row r="30" spans="1:65" s="7" customFormat="1" ht="12.75">
      <c r="A30" s="7" t="s">
        <v>138</v>
      </c>
      <c r="B30" s="7">
        <v>90</v>
      </c>
      <c r="D30" s="71"/>
      <c r="E30" s="35">
        <v>9.99</v>
      </c>
      <c r="F30" s="35">
        <v>25</v>
      </c>
      <c r="G30" s="32">
        <f aca="true" t="shared" si="36" ref="G30:G38">D30/1000*E30/F30</f>
        <v>0</v>
      </c>
      <c r="I30" s="11">
        <f aca="true" t="shared" si="37" ref="I30:I39">D30</f>
        <v>0</v>
      </c>
      <c r="W30" s="9">
        <f>($D30)*U30</f>
        <v>0</v>
      </c>
      <c r="X30" s="51"/>
      <c r="Y30" s="13"/>
      <c r="Z30" s="13"/>
      <c r="AA30" s="13"/>
      <c r="AB30" s="52">
        <f t="shared" si="22"/>
        <v>0</v>
      </c>
      <c r="AC30" s="51"/>
      <c r="AD30" s="13"/>
      <c r="AE30" s="13"/>
      <c r="AF30" s="52">
        <f t="shared" si="23"/>
        <v>0</v>
      </c>
      <c r="AG30" s="51"/>
      <c r="AH30" s="52">
        <f t="shared" si="24"/>
        <v>0</v>
      </c>
      <c r="AI30" s="51"/>
      <c r="AJ30" s="13"/>
      <c r="AK30" s="52">
        <f t="shared" si="25"/>
        <v>0</v>
      </c>
      <c r="AL30" s="51">
        <f>B30*D30/100*1000/D51</f>
        <v>0</v>
      </c>
      <c r="AM30" s="13"/>
      <c r="AN30" s="41"/>
      <c r="AO30" s="52">
        <f t="shared" si="26"/>
        <v>0</v>
      </c>
      <c r="AP30" s="6"/>
      <c r="AQ30" s="11">
        <f t="shared" si="27"/>
        <v>0</v>
      </c>
      <c r="AR30" s="13"/>
      <c r="AS30" s="11">
        <f t="shared" si="28"/>
        <v>0</v>
      </c>
      <c r="AT30" s="6"/>
      <c r="AU30" s="11">
        <f t="shared" si="29"/>
        <v>0</v>
      </c>
      <c r="AV30" s="6"/>
      <c r="AW30" s="11">
        <f t="shared" si="30"/>
        <v>0</v>
      </c>
      <c r="AX30" s="6"/>
      <c r="AY30" s="11">
        <f t="shared" si="31"/>
        <v>0</v>
      </c>
      <c r="AZ30" s="6"/>
      <c r="BA30" s="11">
        <f t="shared" si="32"/>
        <v>0</v>
      </c>
      <c r="BB30" s="6"/>
      <c r="BC30" s="11">
        <f t="shared" si="33"/>
        <v>0</v>
      </c>
      <c r="BD30" s="6"/>
      <c r="BE30" s="11">
        <f t="shared" si="34"/>
        <v>0</v>
      </c>
      <c r="BF30" s="6"/>
      <c r="BG30" s="11">
        <f t="shared" si="35"/>
        <v>0</v>
      </c>
      <c r="BM30"/>
    </row>
    <row r="31" spans="1:59" s="7" customFormat="1" ht="12.75">
      <c r="A31" s="7" t="s">
        <v>111</v>
      </c>
      <c r="B31" s="7">
        <v>32.2</v>
      </c>
      <c r="C31" s="7">
        <v>5.9</v>
      </c>
      <c r="D31" s="71">
        <v>0</v>
      </c>
      <c r="E31" s="38">
        <v>50</v>
      </c>
      <c r="F31" s="38">
        <v>1000</v>
      </c>
      <c r="G31" s="32">
        <f t="shared" si="36"/>
        <v>0</v>
      </c>
      <c r="I31" s="11">
        <f t="shared" si="37"/>
        <v>0</v>
      </c>
      <c r="U31" s="45">
        <f>D31/D$51</f>
        <v>0</v>
      </c>
      <c r="W31" s="9">
        <f aca="true" t="shared" si="38" ref="W31:W43">D31</f>
        <v>0</v>
      </c>
      <c r="X31" s="51"/>
      <c r="Y31" s="13"/>
      <c r="Z31" s="13"/>
      <c r="AA31" s="13"/>
      <c r="AB31" s="52">
        <f t="shared" si="22"/>
        <v>0</v>
      </c>
      <c r="AC31" s="51">
        <f>0.81/100*D31*1000/$D$51</f>
        <v>0</v>
      </c>
      <c r="AD31" s="13"/>
      <c r="AE31" s="13"/>
      <c r="AF31" s="52">
        <f t="shared" si="23"/>
        <v>0</v>
      </c>
      <c r="AG31" s="51"/>
      <c r="AH31" s="52">
        <f t="shared" si="24"/>
        <v>0</v>
      </c>
      <c r="AI31" s="51">
        <f>C31/100*D31*1000/$D$51</f>
        <v>0</v>
      </c>
      <c r="AJ31" s="13"/>
      <c r="AK31" s="52">
        <f t="shared" si="25"/>
        <v>0</v>
      </c>
      <c r="AL31" s="51">
        <f>B31/100*D31*1000/D$51</f>
        <v>0</v>
      </c>
      <c r="AM31" s="13"/>
      <c r="AN31" s="41"/>
      <c r="AO31" s="52">
        <f t="shared" si="26"/>
        <v>0</v>
      </c>
      <c r="AP31" s="6"/>
      <c r="AQ31" s="11">
        <f t="shared" si="27"/>
        <v>0</v>
      </c>
      <c r="AR31" s="13">
        <f>50*0.796*$D31/$D$51</f>
        <v>0</v>
      </c>
      <c r="AS31" s="11">
        <f t="shared" si="28"/>
        <v>0</v>
      </c>
      <c r="AT31" s="6">
        <f>9.04*0.796*$D31/$D$51</f>
        <v>0</v>
      </c>
      <c r="AU31" s="11">
        <f t="shared" si="29"/>
        <v>0</v>
      </c>
      <c r="AV31" s="6">
        <f>13.1*$D31/$D$51</f>
        <v>0</v>
      </c>
      <c r="AW31" s="11">
        <f t="shared" si="30"/>
        <v>0</v>
      </c>
      <c r="AX31" s="6">
        <f>1.63*$D31/$D$51</f>
        <v>0</v>
      </c>
      <c r="AY31" s="11">
        <f>AX31*$D$51</f>
        <v>0</v>
      </c>
      <c r="AZ31" s="6">
        <f>10*0.796*$D31/$D$51</f>
        <v>0</v>
      </c>
      <c r="BA31" s="11">
        <f t="shared" si="32"/>
        <v>0</v>
      </c>
      <c r="BB31" s="6">
        <f>48*0.796*$D31/$D$51</f>
        <v>0</v>
      </c>
      <c r="BC31" s="11">
        <f t="shared" si="33"/>
        <v>0</v>
      </c>
      <c r="BD31" s="6"/>
      <c r="BE31" s="11">
        <f t="shared" si="34"/>
        <v>0</v>
      </c>
      <c r="BF31" s="6"/>
      <c r="BG31" s="11">
        <f t="shared" si="35"/>
        <v>0</v>
      </c>
    </row>
    <row r="32" spans="1:59" s="7" customFormat="1" ht="12.75">
      <c r="A32" s="7" t="s">
        <v>139</v>
      </c>
      <c r="B32" s="7">
        <v>35.7</v>
      </c>
      <c r="C32" s="7">
        <v>8</v>
      </c>
      <c r="D32" s="71">
        <v>0</v>
      </c>
      <c r="E32" s="38">
        <v>50</v>
      </c>
      <c r="F32" s="38">
        <v>1000</v>
      </c>
      <c r="G32" s="32">
        <f>D32/1000*E32/F32</f>
        <v>0</v>
      </c>
      <c r="I32" s="11">
        <f t="shared" si="37"/>
        <v>0</v>
      </c>
      <c r="U32" s="45">
        <f>D32/D$51</f>
        <v>0</v>
      </c>
      <c r="W32" s="9">
        <f>D32</f>
        <v>0</v>
      </c>
      <c r="X32" s="51"/>
      <c r="Y32" s="13"/>
      <c r="Z32" s="13"/>
      <c r="AA32" s="13"/>
      <c r="AB32" s="52">
        <f t="shared" si="22"/>
        <v>0</v>
      </c>
      <c r="AC32" s="51">
        <f>0.46/100*D32*1000/$D$51</f>
        <v>0</v>
      </c>
      <c r="AD32" s="13"/>
      <c r="AE32" s="13"/>
      <c r="AF32" s="52">
        <f t="shared" si="23"/>
        <v>0</v>
      </c>
      <c r="AG32" s="51"/>
      <c r="AH32" s="52">
        <f t="shared" si="24"/>
        <v>0</v>
      </c>
      <c r="AI32" s="51">
        <f>C32/100*D32*1000/$D$51</f>
        <v>0</v>
      </c>
      <c r="AJ32" s="13"/>
      <c r="AK32" s="52">
        <f t="shared" si="25"/>
        <v>0</v>
      </c>
      <c r="AL32" s="51">
        <f>B32/100*D32*1000/D$51</f>
        <v>0</v>
      </c>
      <c r="AM32" s="13"/>
      <c r="AN32" s="41"/>
      <c r="AO32" s="52">
        <f t="shared" si="26"/>
        <v>0</v>
      </c>
      <c r="AP32" s="6"/>
      <c r="AQ32" s="11">
        <f t="shared" si="27"/>
        <v>0</v>
      </c>
      <c r="AR32" s="13">
        <f>65.9*0.919*$D32/$D$51</f>
        <v>0</v>
      </c>
      <c r="AS32" s="11">
        <f t="shared" si="28"/>
        <v>0</v>
      </c>
      <c r="AT32" s="6">
        <f>19.7*0.919*$D32/$D$51</f>
        <v>0</v>
      </c>
      <c r="AU32" s="11">
        <f t="shared" si="29"/>
        <v>0</v>
      </c>
      <c r="AV32" s="6">
        <f>2.87/1000*$D32/$D$51*1000</f>
        <v>0</v>
      </c>
      <c r="AW32" s="11">
        <f t="shared" si="30"/>
        <v>0</v>
      </c>
      <c r="AX32" s="6">
        <f>0.45/1000*$D32/$D$51*1000</f>
        <v>0</v>
      </c>
      <c r="AY32" s="11">
        <f t="shared" si="31"/>
        <v>0</v>
      </c>
      <c r="AZ32" s="6">
        <f>8.3*0.919*$D32/$D$51</f>
        <v>0</v>
      </c>
      <c r="BA32" s="11">
        <f t="shared" si="32"/>
        <v>0</v>
      </c>
      <c r="BB32" s="6">
        <f>59.8*0.919*$D32/$D$51</f>
        <v>0</v>
      </c>
      <c r="BC32" s="11">
        <f t="shared" si="33"/>
        <v>0</v>
      </c>
      <c r="BD32" s="6"/>
      <c r="BE32" s="11">
        <f t="shared" si="34"/>
        <v>0</v>
      </c>
      <c r="BF32" s="6"/>
      <c r="BG32" s="11">
        <f t="shared" si="35"/>
        <v>0</v>
      </c>
    </row>
    <row r="33" spans="1:59" s="7" customFormat="1" ht="12.75">
      <c r="A33" s="7" t="s">
        <v>139</v>
      </c>
      <c r="B33" s="7">
        <v>31.7</v>
      </c>
      <c r="C33" s="7">
        <v>7.6</v>
      </c>
      <c r="D33" s="71">
        <v>0</v>
      </c>
      <c r="E33" s="38">
        <v>50</v>
      </c>
      <c r="F33" s="38">
        <v>1000</v>
      </c>
      <c r="G33" s="32">
        <f>D33/1000*E33/F33</f>
        <v>0</v>
      </c>
      <c r="I33" s="11">
        <f t="shared" si="37"/>
        <v>0</v>
      </c>
      <c r="U33" s="45">
        <f>D33/D$51</f>
        <v>0</v>
      </c>
      <c r="W33" s="9">
        <f>D33</f>
        <v>0</v>
      </c>
      <c r="X33" s="51"/>
      <c r="Y33" s="13"/>
      <c r="Z33" s="13"/>
      <c r="AA33" s="13"/>
      <c r="AB33" s="52">
        <f t="shared" si="22"/>
        <v>0</v>
      </c>
      <c r="AC33" s="51">
        <f>0.44/100*D33*1000/$D$51</f>
        <v>0</v>
      </c>
      <c r="AD33" s="13"/>
      <c r="AE33" s="13"/>
      <c r="AF33" s="52">
        <f t="shared" si="23"/>
        <v>0</v>
      </c>
      <c r="AG33" s="51"/>
      <c r="AH33" s="52">
        <f t="shared" si="24"/>
        <v>0</v>
      </c>
      <c r="AI33" s="51">
        <f>C33/100*D33*1000/$D$51</f>
        <v>0</v>
      </c>
      <c r="AJ33" s="13"/>
      <c r="AK33" s="52">
        <f t="shared" si="25"/>
        <v>0</v>
      </c>
      <c r="AL33" s="51">
        <f>B33/100*D33*1000/D$51</f>
        <v>0</v>
      </c>
      <c r="AM33" s="13"/>
      <c r="AN33" s="41"/>
      <c r="AO33" s="52">
        <f t="shared" si="26"/>
        <v>0</v>
      </c>
      <c r="AP33" s="6"/>
      <c r="AQ33" s="11">
        <f t="shared" si="27"/>
        <v>0</v>
      </c>
      <c r="AR33" s="13">
        <f>70.6*0.885*$D33/$D$51</f>
        <v>0</v>
      </c>
      <c r="AS33" s="11">
        <f t="shared" si="28"/>
        <v>0</v>
      </c>
      <c r="AT33" s="6">
        <f>37.4*0.885*$D33/$D$51</f>
        <v>0</v>
      </c>
      <c r="AU33" s="11">
        <f t="shared" si="29"/>
        <v>0</v>
      </c>
      <c r="AV33" s="6">
        <f>4.51/1000*$D33/$D$51*1000</f>
        <v>0</v>
      </c>
      <c r="AW33" s="11">
        <f t="shared" si="30"/>
        <v>0</v>
      </c>
      <c r="AX33" s="6">
        <f>0.67/1000*$D33/$D$51*1000</f>
        <v>0</v>
      </c>
      <c r="AY33" s="11">
        <f t="shared" si="31"/>
        <v>0</v>
      </c>
      <c r="AZ33" s="6">
        <f>5.5*0.885*$D33/$D$51</f>
        <v>0</v>
      </c>
      <c r="BA33" s="11">
        <f t="shared" si="32"/>
        <v>0</v>
      </c>
      <c r="BB33" s="6">
        <f>159*0.885/1000*$D33/$D$51</f>
        <v>0</v>
      </c>
      <c r="BC33" s="11">
        <f t="shared" si="33"/>
        <v>0</v>
      </c>
      <c r="BD33" s="6"/>
      <c r="BE33" s="11">
        <f t="shared" si="34"/>
        <v>0</v>
      </c>
      <c r="BF33" s="6"/>
      <c r="BG33" s="11">
        <f t="shared" si="35"/>
        <v>0</v>
      </c>
    </row>
    <row r="34" spans="1:59" s="7" customFormat="1" ht="12.75">
      <c r="A34" s="7" t="s">
        <v>139</v>
      </c>
      <c r="B34" s="7">
        <v>33.4</v>
      </c>
      <c r="C34" s="7">
        <v>8</v>
      </c>
      <c r="D34" s="71"/>
      <c r="E34" s="38">
        <v>50</v>
      </c>
      <c r="F34" s="38">
        <v>1000</v>
      </c>
      <c r="G34" s="32">
        <f>D34/1000*E34/F34</f>
        <v>0</v>
      </c>
      <c r="I34" s="11">
        <f t="shared" si="37"/>
        <v>0</v>
      </c>
      <c r="U34" s="45">
        <f>D34/D$51</f>
        <v>0</v>
      </c>
      <c r="W34" s="9">
        <f>D34</f>
        <v>0</v>
      </c>
      <c r="X34" s="51"/>
      <c r="Y34" s="13"/>
      <c r="Z34" s="13"/>
      <c r="AA34" s="13"/>
      <c r="AB34" s="52">
        <f t="shared" si="22"/>
        <v>0</v>
      </c>
      <c r="AC34" s="51">
        <f>0.45/100*D34*1000/$D$51</f>
        <v>0</v>
      </c>
      <c r="AD34" s="13"/>
      <c r="AE34" s="13"/>
      <c r="AF34" s="52">
        <f>AC34*$D$51</f>
        <v>0</v>
      </c>
      <c r="AG34" s="51"/>
      <c r="AH34" s="52">
        <f t="shared" si="24"/>
        <v>0</v>
      </c>
      <c r="AI34" s="51">
        <f>C34/100*D34*1000/$D$51</f>
        <v>0</v>
      </c>
      <c r="AJ34" s="13"/>
      <c r="AK34" s="52">
        <f t="shared" si="25"/>
        <v>0</v>
      </c>
      <c r="AL34" s="51">
        <f>B34/100*D34*1000/D$51</f>
        <v>0</v>
      </c>
      <c r="AM34" s="13">
        <v>0</v>
      </c>
      <c r="AN34" s="41"/>
      <c r="AO34" s="52">
        <f t="shared" si="26"/>
        <v>0</v>
      </c>
      <c r="AP34" s="6"/>
      <c r="AQ34" s="11">
        <f t="shared" si="27"/>
        <v>0</v>
      </c>
      <c r="AR34" s="13">
        <f>63.7*0.8944/1000*$D34/$D$51</f>
        <v>0</v>
      </c>
      <c r="AS34" s="11">
        <f t="shared" si="28"/>
        <v>0</v>
      </c>
      <c r="AT34" s="6">
        <f>17.4*0.894/1000*$D34/$D$51</f>
        <v>0</v>
      </c>
      <c r="AU34" s="11">
        <f t="shared" si="29"/>
        <v>0</v>
      </c>
      <c r="AV34" s="6">
        <f>2.88/100*$D34/$D$51*1000</f>
        <v>0</v>
      </c>
      <c r="AW34" s="11">
        <f t="shared" si="30"/>
        <v>0</v>
      </c>
      <c r="AX34" s="6">
        <f>0.45/100*$D34/$D$51*1000</f>
        <v>0</v>
      </c>
      <c r="AY34" s="11">
        <f t="shared" si="31"/>
        <v>0</v>
      </c>
      <c r="AZ34" s="6">
        <f>7*0.894/1000*$D34/$D$51</f>
        <v>0</v>
      </c>
      <c r="BA34" s="11">
        <f t="shared" si="32"/>
        <v>0</v>
      </c>
      <c r="BB34" s="6">
        <f>30.4*0.894/1000*$D34/$D$51</f>
        <v>0</v>
      </c>
      <c r="BC34" s="11">
        <f t="shared" si="33"/>
        <v>0</v>
      </c>
      <c r="BD34" s="6"/>
      <c r="BE34" s="11">
        <f t="shared" si="34"/>
        <v>0</v>
      </c>
      <c r="BF34" s="6"/>
      <c r="BG34" s="11">
        <f t="shared" si="35"/>
        <v>0</v>
      </c>
    </row>
    <row r="35" spans="1:59" s="7" customFormat="1" ht="12.75">
      <c r="A35" s="7" t="s">
        <v>128</v>
      </c>
      <c r="B35" s="7">
        <v>25.4</v>
      </c>
      <c r="C35" s="7">
        <v>1.5</v>
      </c>
      <c r="D35" s="71"/>
      <c r="E35" s="38">
        <f>17.9*1.19</f>
        <v>21.301</v>
      </c>
      <c r="F35" s="38">
        <v>1000</v>
      </c>
      <c r="G35" s="32">
        <f t="shared" si="36"/>
        <v>0</v>
      </c>
      <c r="I35" s="11">
        <f t="shared" si="37"/>
        <v>0</v>
      </c>
      <c r="U35" s="45">
        <f>D35/D$51</f>
        <v>0</v>
      </c>
      <c r="W35" s="9">
        <f t="shared" si="38"/>
        <v>0</v>
      </c>
      <c r="X35" s="51">
        <f>0.47/100*D35/D51*1000</f>
        <v>0</v>
      </c>
      <c r="Y35" s="13"/>
      <c r="Z35" s="13"/>
      <c r="AA35" s="13"/>
      <c r="AB35" s="52">
        <f t="shared" si="22"/>
        <v>0</v>
      </c>
      <c r="AC35" s="51">
        <f>1.2/100*D35/D51*1000</f>
        <v>0</v>
      </c>
      <c r="AD35" s="13"/>
      <c r="AE35" s="13"/>
      <c r="AF35" s="52">
        <f aca="true" t="shared" si="39" ref="AF35:AF50">AC35*$D$51</f>
        <v>0</v>
      </c>
      <c r="AG35" s="51">
        <f>0.07/100*D35/D51*1000</f>
        <v>0</v>
      </c>
      <c r="AH35" s="52">
        <f t="shared" si="24"/>
        <v>0</v>
      </c>
      <c r="AI35" s="51">
        <f>1.5/100*D35/D51*1000</f>
        <v>0</v>
      </c>
      <c r="AJ35" s="13"/>
      <c r="AK35" s="52">
        <f t="shared" si="25"/>
        <v>0</v>
      </c>
      <c r="AL35" s="51">
        <f>B35/100*D35*1000/D$51</f>
        <v>0</v>
      </c>
      <c r="AM35" s="13"/>
      <c r="AN35" s="41"/>
      <c r="AO35" s="52">
        <f t="shared" si="26"/>
        <v>0</v>
      </c>
      <c r="AP35" s="6">
        <f>0.21/100*D35/D51*1000</f>
        <v>0</v>
      </c>
      <c r="AQ35" s="11">
        <f t="shared" si="27"/>
        <v>0</v>
      </c>
      <c r="AR35" s="13">
        <f>0.01/1000*D35/D51*1000</f>
        <v>0</v>
      </c>
      <c r="AS35" s="11">
        <f t="shared" si="28"/>
        <v>0</v>
      </c>
      <c r="AT35" s="6"/>
      <c r="AU35" s="11">
        <f t="shared" si="29"/>
        <v>0</v>
      </c>
      <c r="AV35" s="6"/>
      <c r="AW35" s="11">
        <f t="shared" si="30"/>
        <v>0</v>
      </c>
      <c r="AX35" s="6"/>
      <c r="AY35" s="11">
        <f t="shared" si="31"/>
        <v>0</v>
      </c>
      <c r="AZ35" s="6"/>
      <c r="BA35" s="11">
        <f t="shared" si="32"/>
        <v>0</v>
      </c>
      <c r="BB35" s="6"/>
      <c r="BC35" s="11">
        <f t="shared" si="33"/>
        <v>0</v>
      </c>
      <c r="BD35" s="6"/>
      <c r="BE35" s="11">
        <f t="shared" si="34"/>
        <v>0</v>
      </c>
      <c r="BF35" s="6"/>
      <c r="BG35" s="11">
        <f t="shared" si="35"/>
        <v>0</v>
      </c>
    </row>
    <row r="36" spans="1:59" s="7" customFormat="1" ht="12.75">
      <c r="A36" s="7" t="s">
        <v>120</v>
      </c>
      <c r="B36" s="7">
        <f>50*BH6</f>
        <v>28.014407609455873</v>
      </c>
      <c r="C36" s="7">
        <f>40*BH8</f>
        <v>11.530843404931623</v>
      </c>
      <c r="D36" s="71"/>
      <c r="E36" s="35">
        <v>9</v>
      </c>
      <c r="F36" s="35">
        <v>25</v>
      </c>
      <c r="G36" s="32">
        <f t="shared" si="36"/>
        <v>0</v>
      </c>
      <c r="H36" s="39">
        <v>1200</v>
      </c>
      <c r="I36" s="11">
        <f t="shared" si="37"/>
        <v>0</v>
      </c>
      <c r="U36" s="45">
        <f>D36/D$51/30</f>
        <v>0</v>
      </c>
      <c r="W36" s="9">
        <f t="shared" si="38"/>
        <v>0</v>
      </c>
      <c r="X36" s="51"/>
      <c r="Y36" s="13"/>
      <c r="Z36" s="13"/>
      <c r="AA36" s="13"/>
      <c r="AB36" s="52">
        <f t="shared" si="22"/>
        <v>0</v>
      </c>
      <c r="AC36" s="51"/>
      <c r="AD36" s="13"/>
      <c r="AE36" s="13"/>
      <c r="AF36" s="52">
        <f t="shared" si="39"/>
        <v>0</v>
      </c>
      <c r="AG36" s="51"/>
      <c r="AH36" s="52">
        <f t="shared" si="24"/>
        <v>0</v>
      </c>
      <c r="AI36" s="51">
        <f>C36/100*D36*1000/D51</f>
        <v>0</v>
      </c>
      <c r="AJ36" s="13"/>
      <c r="AK36" s="52">
        <f>AI36*$D$51</f>
        <v>0</v>
      </c>
      <c r="AL36" s="51">
        <f>B36/100*D36*1000/D51</f>
        <v>0</v>
      </c>
      <c r="AM36" s="13">
        <f>AL36</f>
        <v>0</v>
      </c>
      <c r="AN36" s="41"/>
      <c r="AO36" s="52">
        <f>AL36*$D$51</f>
        <v>0</v>
      </c>
      <c r="AP36" s="6"/>
      <c r="AQ36" s="11">
        <f t="shared" si="27"/>
        <v>0</v>
      </c>
      <c r="AR36" s="13"/>
      <c r="AS36" s="11">
        <f t="shared" si="28"/>
        <v>0</v>
      </c>
      <c r="AT36" s="6"/>
      <c r="AU36" s="11">
        <f t="shared" si="29"/>
        <v>0</v>
      </c>
      <c r="AV36" s="6"/>
      <c r="AW36" s="11">
        <f t="shared" si="30"/>
        <v>0</v>
      </c>
      <c r="AX36" s="6"/>
      <c r="AY36" s="11">
        <f t="shared" si="31"/>
        <v>0</v>
      </c>
      <c r="AZ36" s="6"/>
      <c r="BA36" s="11">
        <f t="shared" si="32"/>
        <v>0</v>
      </c>
      <c r="BB36" s="6"/>
      <c r="BC36" s="11">
        <f t="shared" si="33"/>
        <v>0</v>
      </c>
      <c r="BD36" s="6"/>
      <c r="BE36" s="11">
        <f t="shared" si="34"/>
        <v>0</v>
      </c>
      <c r="BF36" s="6"/>
      <c r="BG36" s="11">
        <f t="shared" si="35"/>
        <v>0</v>
      </c>
    </row>
    <row r="37" spans="1:59" s="7" customFormat="1" ht="12.75">
      <c r="A37" s="7" t="s">
        <v>132</v>
      </c>
      <c r="B37" s="7">
        <v>27.4</v>
      </c>
      <c r="D37" s="71"/>
      <c r="E37" s="35">
        <v>40</v>
      </c>
      <c r="F37" s="35">
        <f>5*1.826</f>
        <v>9.13</v>
      </c>
      <c r="G37" s="32">
        <f>D37/1000*E37/F37</f>
        <v>0</v>
      </c>
      <c r="H37" s="39">
        <v>1826</v>
      </c>
      <c r="I37" s="11">
        <f t="shared" si="37"/>
        <v>0</v>
      </c>
      <c r="U37" s="45">
        <f>D37/D$51/30</f>
        <v>0</v>
      </c>
      <c r="W37" s="9">
        <f t="shared" si="38"/>
        <v>0</v>
      </c>
      <c r="X37" s="51"/>
      <c r="Y37" s="13"/>
      <c r="Z37" s="13"/>
      <c r="AA37" s="13"/>
      <c r="AB37" s="52">
        <f t="shared" si="22"/>
        <v>0</v>
      </c>
      <c r="AC37" s="51"/>
      <c r="AD37" s="13"/>
      <c r="AE37" s="13"/>
      <c r="AF37" s="52">
        <f t="shared" si="39"/>
        <v>0</v>
      </c>
      <c r="AG37" s="51"/>
      <c r="AH37" s="52">
        <f t="shared" si="24"/>
        <v>0</v>
      </c>
      <c r="AI37" s="51"/>
      <c r="AJ37" s="13"/>
      <c r="AK37" s="52">
        <f t="shared" si="25"/>
        <v>0</v>
      </c>
      <c r="AL37" s="51"/>
      <c r="AM37" s="13"/>
      <c r="AN37" s="41"/>
      <c r="AO37" s="52">
        <f t="shared" si="26"/>
        <v>0</v>
      </c>
      <c r="AP37" s="6"/>
      <c r="AQ37" s="11">
        <f t="shared" si="27"/>
        <v>0</v>
      </c>
      <c r="AR37" s="13"/>
      <c r="AS37" s="11">
        <f t="shared" si="28"/>
        <v>0</v>
      </c>
      <c r="AT37" s="6"/>
      <c r="AU37" s="11">
        <f t="shared" si="29"/>
        <v>0</v>
      </c>
      <c r="AV37" s="6"/>
      <c r="AW37" s="11">
        <f t="shared" si="30"/>
        <v>0</v>
      </c>
      <c r="AX37" s="13">
        <f>B37/100*$D37*1000/$D51</f>
        <v>0</v>
      </c>
      <c r="AY37" s="11">
        <f t="shared" si="31"/>
        <v>0</v>
      </c>
      <c r="AZ37" s="6"/>
      <c r="BA37" s="11">
        <f t="shared" si="32"/>
        <v>0</v>
      </c>
      <c r="BB37" s="6"/>
      <c r="BC37" s="11">
        <f t="shared" si="33"/>
        <v>0</v>
      </c>
      <c r="BD37" s="6"/>
      <c r="BE37" s="11">
        <f t="shared" si="34"/>
        <v>0</v>
      </c>
      <c r="BF37" s="6"/>
      <c r="BG37" s="11">
        <f t="shared" si="35"/>
        <v>0</v>
      </c>
    </row>
    <row r="38" spans="1:59" s="3" customFormat="1" ht="12.75">
      <c r="A38" s="3" t="s">
        <v>93</v>
      </c>
      <c r="B38" s="3">
        <v>3</v>
      </c>
      <c r="D38" s="73">
        <v>1</v>
      </c>
      <c r="E38" s="39">
        <v>59.38</v>
      </c>
      <c r="F38" s="39">
        <v>25</v>
      </c>
      <c r="G38" s="32">
        <f t="shared" si="36"/>
        <v>0.0023752</v>
      </c>
      <c r="H38" s="39">
        <v>1260</v>
      </c>
      <c r="I38" s="11">
        <f t="shared" si="37"/>
        <v>1</v>
      </c>
      <c r="U38" s="47">
        <f>D38/D$51</f>
        <v>0.1</v>
      </c>
      <c r="W38" s="11">
        <f t="shared" si="38"/>
        <v>1</v>
      </c>
      <c r="X38" s="51"/>
      <c r="Y38" s="13"/>
      <c r="Z38" s="13"/>
      <c r="AA38" s="13"/>
      <c r="AB38" s="52">
        <f t="shared" si="22"/>
        <v>0</v>
      </c>
      <c r="AC38" s="51"/>
      <c r="AD38" s="13"/>
      <c r="AE38" s="13"/>
      <c r="AF38" s="52">
        <f t="shared" si="39"/>
        <v>0</v>
      </c>
      <c r="AG38" s="51"/>
      <c r="AH38" s="52">
        <f t="shared" si="24"/>
        <v>0</v>
      </c>
      <c r="AI38" s="51"/>
      <c r="AJ38" s="13"/>
      <c r="AK38" s="52">
        <f t="shared" si="25"/>
        <v>0</v>
      </c>
      <c r="AL38" s="51"/>
      <c r="AM38" s="13"/>
      <c r="AN38" s="41"/>
      <c r="AO38" s="52">
        <f t="shared" si="26"/>
        <v>0</v>
      </c>
      <c r="AP38" s="13"/>
      <c r="AQ38" s="11">
        <f t="shared" si="27"/>
        <v>0</v>
      </c>
      <c r="AR38" s="13"/>
      <c r="AS38" s="11">
        <f t="shared" si="28"/>
        <v>0</v>
      </c>
      <c r="AT38" s="13"/>
      <c r="AU38" s="11">
        <f t="shared" si="29"/>
        <v>0</v>
      </c>
      <c r="AV38" s="13">
        <f>D38*B38/100*1000/D51</f>
        <v>3</v>
      </c>
      <c r="AW38" s="11">
        <f t="shared" si="30"/>
        <v>30</v>
      </c>
      <c r="AX38" s="13"/>
      <c r="AY38" s="11">
        <f t="shared" si="31"/>
        <v>0</v>
      </c>
      <c r="AZ38" s="13"/>
      <c r="BA38" s="11">
        <f t="shared" si="32"/>
        <v>0</v>
      </c>
      <c r="BB38" s="13"/>
      <c r="BC38" s="11">
        <f t="shared" si="33"/>
        <v>0</v>
      </c>
      <c r="BD38" s="13"/>
      <c r="BE38" s="11">
        <f t="shared" si="34"/>
        <v>0</v>
      </c>
      <c r="BF38" s="13"/>
      <c r="BG38" s="11">
        <f t="shared" si="35"/>
        <v>0</v>
      </c>
    </row>
    <row r="39" spans="1:60" s="3" customFormat="1" ht="12.75">
      <c r="A39" s="21" t="s">
        <v>188</v>
      </c>
      <c r="D39" s="73"/>
      <c r="E39" s="39">
        <f>46.95*1.19</f>
        <v>55.8705</v>
      </c>
      <c r="F39" s="39">
        <v>25</v>
      </c>
      <c r="G39" s="32">
        <f aca="true" t="shared" si="40" ref="G39:G46">D39/1000*E39/F39</f>
        <v>0</v>
      </c>
      <c r="H39" s="39">
        <v>910</v>
      </c>
      <c r="I39" s="11">
        <f t="shared" si="37"/>
        <v>0</v>
      </c>
      <c r="U39" s="47">
        <f aca="true" t="shared" si="41" ref="U39:U50">D39/D$51</f>
        <v>0</v>
      </c>
      <c r="W39" s="9">
        <f t="shared" si="38"/>
        <v>0</v>
      </c>
      <c r="X39" s="51">
        <f>0.24*$D39*1000/$D51</f>
        <v>0</v>
      </c>
      <c r="Y39" s="13"/>
      <c r="Z39" s="13"/>
      <c r="AA39" s="13"/>
      <c r="AB39" s="52">
        <f t="shared" si="22"/>
        <v>0</v>
      </c>
      <c r="AC39" s="51">
        <f>0.06*$D39*1000/$D51</f>
        <v>0</v>
      </c>
      <c r="AD39" s="13"/>
      <c r="AE39" s="13"/>
      <c r="AF39" s="52">
        <f t="shared" si="39"/>
        <v>0</v>
      </c>
      <c r="AG39" s="51">
        <f>0.12*$D39*1000/$D51</f>
        <v>0</v>
      </c>
      <c r="AH39" s="52">
        <f t="shared" si="24"/>
        <v>0</v>
      </c>
      <c r="AI39" s="51">
        <f>0.02*$D39*1000/$D51</f>
        <v>0</v>
      </c>
      <c r="AJ39" s="13"/>
      <c r="AK39" s="52">
        <f t="shared" si="25"/>
        <v>0</v>
      </c>
      <c r="AL39" s="51"/>
      <c r="AM39" s="13"/>
      <c r="AN39" s="41"/>
      <c r="AO39" s="52">
        <f t="shared" si="26"/>
        <v>0</v>
      </c>
      <c r="AP39" s="13">
        <f>0.01*1000*D39/D51</f>
        <v>0</v>
      </c>
      <c r="AQ39" s="11">
        <f t="shared" si="27"/>
        <v>0</v>
      </c>
      <c r="AR39" s="13">
        <f>0.0001*$D39*1000/$D51</f>
        <v>0</v>
      </c>
      <c r="AS39" s="11">
        <f t="shared" si="28"/>
        <v>0</v>
      </c>
      <c r="AT39" s="13">
        <f>0.0002*$D39*1000/$D51</f>
        <v>0</v>
      </c>
      <c r="AU39" s="11">
        <f t="shared" si="29"/>
        <v>0</v>
      </c>
      <c r="AV39" s="13">
        <f>0.001*$D39*1000/$D51</f>
        <v>0</v>
      </c>
      <c r="AW39" s="11">
        <f t="shared" si="30"/>
        <v>0</v>
      </c>
      <c r="AX39" s="13">
        <f>0.0005*$D39*1000/$D51</f>
        <v>0</v>
      </c>
      <c r="AY39" s="11">
        <f t="shared" si="31"/>
        <v>0</v>
      </c>
      <c r="AZ39" s="13">
        <f>0.00001*$D39*1000/$D51</f>
        <v>0</v>
      </c>
      <c r="BA39" s="11">
        <f t="shared" si="32"/>
        <v>0</v>
      </c>
      <c r="BB39" s="13">
        <f>0.00015*$D39*1000/$D51</f>
        <v>0</v>
      </c>
      <c r="BC39" s="11">
        <f t="shared" si="33"/>
        <v>0</v>
      </c>
      <c r="BD39" s="13"/>
      <c r="BE39" s="11">
        <f t="shared" si="34"/>
        <v>0</v>
      </c>
      <c r="BF39" s="13"/>
      <c r="BG39" s="11">
        <f t="shared" si="35"/>
        <v>0</v>
      </c>
      <c r="BH39" s="3" t="s">
        <v>109</v>
      </c>
    </row>
    <row r="40" spans="1:60" s="3" customFormat="1" ht="12.75">
      <c r="A40" s="21" t="s">
        <v>193</v>
      </c>
      <c r="D40" s="74">
        <v>5</v>
      </c>
      <c r="E40" s="39">
        <f>34.75*1.19</f>
        <v>41.3525</v>
      </c>
      <c r="F40" s="39">
        <v>25</v>
      </c>
      <c r="G40" s="32">
        <f t="shared" si="40"/>
        <v>0.0082705</v>
      </c>
      <c r="H40" s="39">
        <v>1150</v>
      </c>
      <c r="I40" s="11">
        <f>D40</f>
        <v>5</v>
      </c>
      <c r="U40" s="47">
        <f t="shared" si="41"/>
        <v>0.5</v>
      </c>
      <c r="W40" s="9">
        <f t="shared" si="38"/>
        <v>5</v>
      </c>
      <c r="X40" s="51">
        <f>0.2*$D40*1000/$D51</f>
        <v>100</v>
      </c>
      <c r="Y40" s="13"/>
      <c r="Z40" s="13"/>
      <c r="AA40" s="13"/>
      <c r="AB40" s="52">
        <f t="shared" si="22"/>
        <v>1000</v>
      </c>
      <c r="AC40" s="51">
        <f>0.05*$D40*1000/$D51</f>
        <v>25</v>
      </c>
      <c r="AD40" s="13"/>
      <c r="AE40" s="13"/>
      <c r="AF40" s="52">
        <f t="shared" si="39"/>
        <v>250</v>
      </c>
      <c r="AG40" s="51">
        <f>0.1*$D40*1000/$D51</f>
        <v>50</v>
      </c>
      <c r="AH40" s="52">
        <f aca="true" t="shared" si="42" ref="AH40:AH50">AG40*$D$51</f>
        <v>500</v>
      </c>
      <c r="AI40" s="51">
        <f>0.02*$D40*1000/$D51</f>
        <v>10</v>
      </c>
      <c r="AJ40" s="13"/>
      <c r="AK40" s="52">
        <f t="shared" si="25"/>
        <v>100</v>
      </c>
      <c r="AL40" s="51"/>
      <c r="AM40" s="13"/>
      <c r="AN40" s="41"/>
      <c r="AO40" s="52">
        <f t="shared" si="26"/>
        <v>0</v>
      </c>
      <c r="AP40" s="13">
        <f>0.11*1000*D40/D51</f>
        <v>55</v>
      </c>
      <c r="AQ40" s="11">
        <f t="shared" si="27"/>
        <v>550</v>
      </c>
      <c r="AR40" s="13">
        <f>0.0001*$D40*1000/$D$51</f>
        <v>0.05</v>
      </c>
      <c r="AS40" s="11">
        <f t="shared" si="28"/>
        <v>0.5</v>
      </c>
      <c r="AT40" s="13">
        <f>0.0002*$D40*1000/$D$51</f>
        <v>0.1</v>
      </c>
      <c r="AU40" s="11">
        <f t="shared" si="29"/>
        <v>1</v>
      </c>
      <c r="AV40" s="13">
        <f>0.00075*$D40*1000/$D$51</f>
        <v>0.375</v>
      </c>
      <c r="AW40" s="11">
        <f t="shared" si="30"/>
        <v>3.75</v>
      </c>
      <c r="AX40" s="13">
        <f>0.0005*$D40*1000/$D$51</f>
        <v>0.25</v>
      </c>
      <c r="AY40" s="11">
        <f t="shared" si="31"/>
        <v>2.5</v>
      </c>
      <c r="AZ40" s="13">
        <f>0.00001*$D40*1000/$D$51</f>
        <v>0.005</v>
      </c>
      <c r="BA40" s="11">
        <f t="shared" si="32"/>
        <v>0.05</v>
      </c>
      <c r="BB40" s="13">
        <f>0.00015*$D40*1000/$D$51</f>
        <v>0.07499999999999998</v>
      </c>
      <c r="BC40" s="11">
        <f t="shared" si="33"/>
        <v>0.7499999999999998</v>
      </c>
      <c r="BD40" s="13"/>
      <c r="BE40" s="11">
        <f t="shared" si="34"/>
        <v>0</v>
      </c>
      <c r="BF40" s="13"/>
      <c r="BG40" s="11">
        <f t="shared" si="35"/>
        <v>0</v>
      </c>
      <c r="BH40" s="3">
        <v>0.65</v>
      </c>
    </row>
    <row r="41" spans="1:59" s="3" customFormat="1" ht="12.75">
      <c r="A41" s="21" t="s">
        <v>189</v>
      </c>
      <c r="D41" s="74"/>
      <c r="E41" s="39">
        <f>46.95*1.19</f>
        <v>55.8705</v>
      </c>
      <c r="F41" s="39">
        <v>25</v>
      </c>
      <c r="G41" s="32">
        <f t="shared" si="40"/>
        <v>0</v>
      </c>
      <c r="H41" s="39">
        <v>1200</v>
      </c>
      <c r="I41" s="11">
        <f aca="true" t="shared" si="43" ref="I41:I50">D41</f>
        <v>0</v>
      </c>
      <c r="U41" s="47">
        <f>D41/D$51</f>
        <v>0</v>
      </c>
      <c r="W41" s="9">
        <f t="shared" si="38"/>
        <v>0</v>
      </c>
      <c r="X41" s="51">
        <f>0.08*$D41*1000/$D51</f>
        <v>0</v>
      </c>
      <c r="Y41" s="13"/>
      <c r="Z41" s="13"/>
      <c r="AA41" s="13"/>
      <c r="AB41" s="52">
        <f t="shared" si="22"/>
        <v>0</v>
      </c>
      <c r="AC41" s="51">
        <f>0.12*$D41*1000/$D51</f>
        <v>0</v>
      </c>
      <c r="AD41" s="13"/>
      <c r="AE41" s="13"/>
      <c r="AF41" s="52">
        <f t="shared" si="39"/>
        <v>0</v>
      </c>
      <c r="AG41" s="51">
        <f>0.25*$D41*1000/$D51</f>
        <v>0</v>
      </c>
      <c r="AH41" s="52">
        <f t="shared" si="42"/>
        <v>0</v>
      </c>
      <c r="AI41" s="51">
        <f>0.04*$D41*1000/$D51</f>
        <v>0</v>
      </c>
      <c r="AJ41" s="13"/>
      <c r="AK41" s="52">
        <f t="shared" si="25"/>
        <v>0</v>
      </c>
      <c r="AL41" s="51"/>
      <c r="AM41" s="13"/>
      <c r="AN41" s="41"/>
      <c r="AO41" s="52">
        <f t="shared" si="26"/>
        <v>0</v>
      </c>
      <c r="AP41" s="13">
        <f>0.11*1000*D41/D51</f>
        <v>0</v>
      </c>
      <c r="AQ41" s="11">
        <f t="shared" si="27"/>
        <v>0</v>
      </c>
      <c r="AR41" s="13">
        <f>0.0001*$D41*1000/$D$51</f>
        <v>0</v>
      </c>
      <c r="AS41" s="11">
        <f t="shared" si="28"/>
        <v>0</v>
      </c>
      <c r="AT41" s="13">
        <f>0.0002*$D41*1000/$D$51</f>
        <v>0</v>
      </c>
      <c r="AU41" s="11">
        <f t="shared" si="29"/>
        <v>0</v>
      </c>
      <c r="AV41" s="13">
        <f>0.00075*$D41*1000/$D$51</f>
        <v>0</v>
      </c>
      <c r="AW41" s="11">
        <f t="shared" si="30"/>
        <v>0</v>
      </c>
      <c r="AX41" s="13">
        <f>0.0005*$D41*1000/$D$51</f>
        <v>0</v>
      </c>
      <c r="AY41" s="11">
        <f t="shared" si="31"/>
        <v>0</v>
      </c>
      <c r="AZ41" s="13">
        <f>0.00001*$D41*1000/$D$51</f>
        <v>0</v>
      </c>
      <c r="BA41" s="11">
        <f t="shared" si="32"/>
        <v>0</v>
      </c>
      <c r="BB41" s="13">
        <f>0.00015*$D41*1000/$D$51</f>
        <v>0</v>
      </c>
      <c r="BC41" s="11">
        <f t="shared" si="33"/>
        <v>0</v>
      </c>
      <c r="BD41" s="13"/>
      <c r="BE41" s="11">
        <f t="shared" si="34"/>
        <v>0</v>
      </c>
      <c r="BF41" s="13"/>
      <c r="BG41" s="11">
        <f t="shared" si="35"/>
        <v>0</v>
      </c>
    </row>
    <row r="42" spans="1:59" s="3" customFormat="1" ht="12.75">
      <c r="A42" s="3" t="s">
        <v>190</v>
      </c>
      <c r="D42" s="74">
        <v>0</v>
      </c>
      <c r="E42" s="39">
        <f>61.35*1.19</f>
        <v>73.0065</v>
      </c>
      <c r="F42" s="39">
        <v>25</v>
      </c>
      <c r="G42" s="32">
        <f t="shared" si="40"/>
        <v>0</v>
      </c>
      <c r="H42" s="3">
        <v>1200</v>
      </c>
      <c r="I42" s="11">
        <f t="shared" si="43"/>
        <v>0</v>
      </c>
      <c r="U42" s="47">
        <f t="shared" si="41"/>
        <v>0</v>
      </c>
      <c r="W42" s="11">
        <f t="shared" si="38"/>
        <v>0</v>
      </c>
      <c r="X42" s="51">
        <f>0.1*$D42*1000/$D51</f>
        <v>0</v>
      </c>
      <c r="Y42" s="13"/>
      <c r="Z42" s="13"/>
      <c r="AA42" s="13"/>
      <c r="AB42" s="52">
        <f t="shared" si="22"/>
        <v>0</v>
      </c>
      <c r="AC42" s="51">
        <f>0.2*$D42*1000/$D51</f>
        <v>0</v>
      </c>
      <c r="AD42" s="13"/>
      <c r="AE42" s="13"/>
      <c r="AF42" s="52">
        <f t="shared" si="39"/>
        <v>0</v>
      </c>
      <c r="AG42" s="51">
        <f>0.3*$D42*1000/$D51</f>
        <v>0</v>
      </c>
      <c r="AH42" s="52">
        <f t="shared" si="42"/>
        <v>0</v>
      </c>
      <c r="AI42" s="51">
        <f>0.02*$D42*1000/$D$51</f>
        <v>0</v>
      </c>
      <c r="AJ42" s="13"/>
      <c r="AK42" s="52">
        <f t="shared" si="25"/>
        <v>0</v>
      </c>
      <c r="AL42" s="51"/>
      <c r="AM42" s="13"/>
      <c r="AN42" s="41"/>
      <c r="AO42" s="52">
        <f t="shared" si="26"/>
        <v>0</v>
      </c>
      <c r="AP42" s="13">
        <f>0.01*1000*D42/D51</f>
        <v>0</v>
      </c>
      <c r="AQ42" s="11">
        <f t="shared" si="27"/>
        <v>0</v>
      </c>
      <c r="AR42" s="13">
        <f>0.0001*$D42*1000/$D$51</f>
        <v>0</v>
      </c>
      <c r="AS42" s="11">
        <f t="shared" si="28"/>
        <v>0</v>
      </c>
      <c r="AT42" s="13">
        <f>0.0002*$D42*1000/$D$51</f>
        <v>0</v>
      </c>
      <c r="AU42" s="11">
        <f t="shared" si="29"/>
        <v>0</v>
      </c>
      <c r="AV42" s="13">
        <f>0.001*$D42*1000/$D$51</f>
        <v>0</v>
      </c>
      <c r="AW42" s="11">
        <f t="shared" si="30"/>
        <v>0</v>
      </c>
      <c r="AX42" s="13">
        <f>0.0005*$D42*1000/$D$51</f>
        <v>0</v>
      </c>
      <c r="AY42" s="11">
        <f t="shared" si="31"/>
        <v>0</v>
      </c>
      <c r="AZ42" s="13">
        <f>0.00001*$D42*1000/$D$51</f>
        <v>0</v>
      </c>
      <c r="BA42" s="11">
        <f t="shared" si="32"/>
        <v>0</v>
      </c>
      <c r="BB42" s="13">
        <f>0.00015*$D42*1000/$D$51</f>
        <v>0</v>
      </c>
      <c r="BC42" s="11">
        <f t="shared" si="33"/>
        <v>0</v>
      </c>
      <c r="BD42" s="13"/>
      <c r="BE42" s="11">
        <f t="shared" si="34"/>
        <v>0</v>
      </c>
      <c r="BF42" s="13"/>
      <c r="BG42" s="11">
        <f t="shared" si="35"/>
        <v>0</v>
      </c>
    </row>
    <row r="43" spans="1:59" s="7" customFormat="1" ht="12.75">
      <c r="A43" s="7" t="s">
        <v>91</v>
      </c>
      <c r="B43" s="7">
        <v>16</v>
      </c>
      <c r="C43" s="7">
        <v>13</v>
      </c>
      <c r="D43" s="74">
        <v>6.3</v>
      </c>
      <c r="E43" s="38">
        <v>20.99</v>
      </c>
      <c r="F43" s="38">
        <v>25</v>
      </c>
      <c r="G43" s="32">
        <f t="shared" si="40"/>
        <v>0.00528948</v>
      </c>
      <c r="H43" s="39">
        <v>1700</v>
      </c>
      <c r="I43" s="11">
        <f t="shared" si="43"/>
        <v>6.3</v>
      </c>
      <c r="U43" s="45">
        <f t="shared" si="41"/>
        <v>0.63</v>
      </c>
      <c r="W43" s="9">
        <f t="shared" si="38"/>
        <v>6.3</v>
      </c>
      <c r="X43" s="51"/>
      <c r="Y43" s="13"/>
      <c r="Z43" s="13"/>
      <c r="AA43" s="13"/>
      <c r="AB43" s="52">
        <f t="shared" si="22"/>
        <v>0</v>
      </c>
      <c r="AC43" s="51"/>
      <c r="AD43" s="13"/>
      <c r="AE43" s="13"/>
      <c r="AF43" s="52">
        <f t="shared" si="39"/>
        <v>0</v>
      </c>
      <c r="AG43" s="51"/>
      <c r="AH43" s="52">
        <f t="shared" si="42"/>
        <v>0</v>
      </c>
      <c r="AI43" s="51">
        <f>B43/100*1000*D43*BL3/D51</f>
        <v>60.786621675267966</v>
      </c>
      <c r="AJ43" s="13"/>
      <c r="AK43" s="52">
        <f t="shared" si="25"/>
        <v>607.8662167526796</v>
      </c>
      <c r="AL43" s="51"/>
      <c r="AM43" s="13"/>
      <c r="AN43" s="41"/>
      <c r="AO43" s="52">
        <f t="shared" si="26"/>
        <v>0</v>
      </c>
      <c r="AP43" s="6">
        <f>C43/100*1000*D43/D51</f>
        <v>81.9</v>
      </c>
      <c r="AQ43" s="11">
        <f t="shared" si="27"/>
        <v>819</v>
      </c>
      <c r="AR43" s="13"/>
      <c r="AS43" s="11">
        <f t="shared" si="28"/>
        <v>0</v>
      </c>
      <c r="AT43" s="6"/>
      <c r="AU43" s="11">
        <f t="shared" si="29"/>
        <v>0</v>
      </c>
      <c r="AV43" s="6"/>
      <c r="AW43" s="11">
        <f t="shared" si="30"/>
        <v>0</v>
      </c>
      <c r="AX43" s="6"/>
      <c r="AY43" s="11">
        <f t="shared" si="31"/>
        <v>0</v>
      </c>
      <c r="AZ43" s="6"/>
      <c r="BA43" s="11">
        <f t="shared" si="32"/>
        <v>0</v>
      </c>
      <c r="BB43" s="6"/>
      <c r="BC43" s="11">
        <f t="shared" si="33"/>
        <v>0</v>
      </c>
      <c r="BD43" s="6"/>
      <c r="BE43" s="11">
        <f t="shared" si="34"/>
        <v>0</v>
      </c>
      <c r="BF43" s="6"/>
      <c r="BG43" s="11">
        <f t="shared" si="35"/>
        <v>0</v>
      </c>
    </row>
    <row r="44" spans="1:59" s="7" customFormat="1" ht="12.75">
      <c r="A44" s="7" t="s">
        <v>71</v>
      </c>
      <c r="B44" s="7">
        <v>70</v>
      </c>
      <c r="C44" s="7">
        <v>18</v>
      </c>
      <c r="D44" s="74">
        <v>5.8</v>
      </c>
      <c r="E44" s="38">
        <v>22.55</v>
      </c>
      <c r="F44" s="38">
        <v>25</v>
      </c>
      <c r="G44" s="32">
        <f t="shared" si="40"/>
        <v>0.0052315999999999994</v>
      </c>
      <c r="H44" s="39">
        <v>2660</v>
      </c>
      <c r="I44" s="11">
        <f t="shared" si="43"/>
        <v>5.8</v>
      </c>
      <c r="U44" s="45">
        <f t="shared" si="41"/>
        <v>0.58</v>
      </c>
      <c r="W44" s="9">
        <f aca="true" t="shared" si="44" ref="W44:W50">D44</f>
        <v>5.8</v>
      </c>
      <c r="X44" s="51"/>
      <c r="Y44" s="13"/>
      <c r="Z44" s="13"/>
      <c r="AA44" s="13"/>
      <c r="AB44" s="52">
        <f t="shared" si="22"/>
        <v>0</v>
      </c>
      <c r="AC44" s="51"/>
      <c r="AD44" s="13"/>
      <c r="AE44" s="13"/>
      <c r="AF44" s="52">
        <f t="shared" si="39"/>
        <v>0</v>
      </c>
      <c r="AG44" s="51">
        <f>B44*D44/100*1000/D51</f>
        <v>405.99999999999994</v>
      </c>
      <c r="AH44" s="52">
        <f t="shared" si="42"/>
        <v>4059.9999999999995</v>
      </c>
      <c r="AI44" s="51"/>
      <c r="AJ44" s="13"/>
      <c r="AK44" s="52">
        <f t="shared" si="25"/>
        <v>0</v>
      </c>
      <c r="AL44" s="51"/>
      <c r="AM44" s="13"/>
      <c r="AN44" s="41"/>
      <c r="AO44" s="52">
        <f t="shared" si="26"/>
        <v>0</v>
      </c>
      <c r="AP44" s="6">
        <f>C44*D44/100*1000/D51</f>
        <v>104.39999999999998</v>
      </c>
      <c r="AQ44" s="11">
        <f t="shared" si="27"/>
        <v>1043.9999999999998</v>
      </c>
      <c r="AR44" s="13"/>
      <c r="AS44" s="11">
        <f t="shared" si="28"/>
        <v>0</v>
      </c>
      <c r="AT44" s="6"/>
      <c r="AU44" s="11">
        <f t="shared" si="29"/>
        <v>0</v>
      </c>
      <c r="AV44" s="6"/>
      <c r="AW44" s="11">
        <f t="shared" si="30"/>
        <v>0</v>
      </c>
      <c r="AX44" s="6"/>
      <c r="AY44" s="11">
        <f t="shared" si="31"/>
        <v>0</v>
      </c>
      <c r="AZ44" s="6"/>
      <c r="BA44" s="11">
        <f t="shared" si="32"/>
        <v>0</v>
      </c>
      <c r="BB44" s="6"/>
      <c r="BC44" s="11">
        <f t="shared" si="33"/>
        <v>0</v>
      </c>
      <c r="BD44" s="6"/>
      <c r="BE44" s="11">
        <f t="shared" si="34"/>
        <v>0</v>
      </c>
      <c r="BF44" s="6"/>
      <c r="BG44" s="11">
        <f t="shared" si="35"/>
        <v>0</v>
      </c>
    </row>
    <row r="45" spans="1:59" ht="12.75">
      <c r="A45" t="s">
        <v>197</v>
      </c>
      <c r="B45">
        <v>61</v>
      </c>
      <c r="C45">
        <v>12</v>
      </c>
      <c r="D45" s="74">
        <v>2.5</v>
      </c>
      <c r="E45" s="27">
        <v>46</v>
      </c>
      <c r="F45" s="27">
        <v>25</v>
      </c>
      <c r="G45" s="32">
        <f>D45/1000*E45/F45</f>
        <v>0.0046</v>
      </c>
      <c r="H45" s="39">
        <v>1610</v>
      </c>
      <c r="I45" s="11">
        <f t="shared" si="43"/>
        <v>2.5</v>
      </c>
      <c r="U45" s="45">
        <f>D45/D$51</f>
        <v>0.25</v>
      </c>
      <c r="W45" s="9">
        <f>D45</f>
        <v>2.5</v>
      </c>
      <c r="X45" s="51">
        <f>D45*C45*1000/D51/100</f>
        <v>30</v>
      </c>
      <c r="Y45" s="13"/>
      <c r="Z45" s="13"/>
      <c r="AA45" s="13"/>
      <c r="AB45" s="52">
        <f t="shared" si="22"/>
        <v>300</v>
      </c>
      <c r="AC45" s="51">
        <f>D45*1000/D51*B45/100</f>
        <v>152.5</v>
      </c>
      <c r="AD45" s="13"/>
      <c r="AE45" s="13"/>
      <c r="AF45" s="52">
        <f t="shared" si="39"/>
        <v>1525</v>
      </c>
      <c r="AG45" s="51"/>
      <c r="AH45" s="52">
        <f t="shared" si="42"/>
        <v>0</v>
      </c>
      <c r="AI45" s="51"/>
      <c r="AJ45" s="13"/>
      <c r="AK45" s="52">
        <f t="shared" si="25"/>
        <v>0</v>
      </c>
      <c r="AL45" s="51"/>
      <c r="AM45" s="13"/>
      <c r="AN45" s="41"/>
      <c r="AO45" s="52">
        <f t="shared" si="26"/>
        <v>0</v>
      </c>
      <c r="AP45" s="6"/>
      <c r="AQ45" s="11">
        <f t="shared" si="27"/>
        <v>0</v>
      </c>
      <c r="AR45" s="13"/>
      <c r="AS45" s="11">
        <f t="shared" si="28"/>
        <v>0</v>
      </c>
      <c r="AT45" s="6"/>
      <c r="AU45" s="11">
        <f t="shared" si="29"/>
        <v>0</v>
      </c>
      <c r="AV45" s="6"/>
      <c r="AW45" s="11">
        <f t="shared" si="30"/>
        <v>0</v>
      </c>
      <c r="AX45" s="6"/>
      <c r="AY45" s="11">
        <f t="shared" si="31"/>
        <v>0</v>
      </c>
      <c r="AZ45" s="6"/>
      <c r="BA45" s="11">
        <f t="shared" si="32"/>
        <v>0</v>
      </c>
      <c r="BB45" s="6"/>
      <c r="BC45" s="11">
        <f t="shared" si="33"/>
        <v>0</v>
      </c>
      <c r="BD45" s="6"/>
      <c r="BE45" s="11">
        <f t="shared" si="34"/>
        <v>0</v>
      </c>
      <c r="BF45" s="6"/>
      <c r="BG45" s="11">
        <f t="shared" si="35"/>
        <v>0</v>
      </c>
    </row>
    <row r="46" spans="1:59" ht="12.75">
      <c r="A46" t="s">
        <v>194</v>
      </c>
      <c r="B46">
        <v>15.5</v>
      </c>
      <c r="C46">
        <v>26.3</v>
      </c>
      <c r="D46" s="74">
        <v>17</v>
      </c>
      <c r="E46" s="27">
        <v>15.71</v>
      </c>
      <c r="F46" s="27">
        <v>25</v>
      </c>
      <c r="G46" s="32">
        <f t="shared" si="40"/>
        <v>0.010682800000000001</v>
      </c>
      <c r="H46" s="39">
        <v>2050</v>
      </c>
      <c r="I46" s="11">
        <f t="shared" si="43"/>
        <v>17</v>
      </c>
      <c r="U46" s="45">
        <f t="shared" si="41"/>
        <v>1.7</v>
      </c>
      <c r="W46" s="9">
        <f t="shared" si="44"/>
        <v>17</v>
      </c>
      <c r="X46" s="51">
        <f>B46/100*D46*1000/D51</f>
        <v>263.5</v>
      </c>
      <c r="Y46" s="13"/>
      <c r="Z46" s="13"/>
      <c r="AA46" s="13"/>
      <c r="AB46" s="52">
        <f t="shared" si="22"/>
        <v>2635</v>
      </c>
      <c r="AC46" s="51"/>
      <c r="AD46" s="13"/>
      <c r="AE46" s="13"/>
      <c r="AF46" s="52">
        <f t="shared" si="39"/>
        <v>0</v>
      </c>
      <c r="AG46" s="51"/>
      <c r="AH46" s="52">
        <f t="shared" si="42"/>
        <v>0</v>
      </c>
      <c r="AI46" s="51"/>
      <c r="AJ46" s="13"/>
      <c r="AK46" s="52">
        <f t="shared" si="25"/>
        <v>0</v>
      </c>
      <c r="AL46" s="51">
        <f>C46/100*D46*1000/D51</f>
        <v>447.1</v>
      </c>
      <c r="AM46" s="13"/>
      <c r="AN46" s="41"/>
      <c r="AO46" s="52">
        <f t="shared" si="26"/>
        <v>4471</v>
      </c>
      <c r="AP46" s="6"/>
      <c r="AQ46" s="11">
        <f t="shared" si="27"/>
        <v>0</v>
      </c>
      <c r="AR46" s="13"/>
      <c r="AS46" s="11">
        <f t="shared" si="28"/>
        <v>0</v>
      </c>
      <c r="AT46" s="6"/>
      <c r="AU46" s="11">
        <f t="shared" si="29"/>
        <v>0</v>
      </c>
      <c r="AV46" s="6"/>
      <c r="AW46" s="11">
        <f t="shared" si="30"/>
        <v>0</v>
      </c>
      <c r="AX46" s="6"/>
      <c r="AY46" s="11">
        <f t="shared" si="31"/>
        <v>0</v>
      </c>
      <c r="AZ46" s="6"/>
      <c r="BA46" s="11">
        <f t="shared" si="32"/>
        <v>0</v>
      </c>
      <c r="BB46" s="6"/>
      <c r="BC46" s="11">
        <f t="shared" si="33"/>
        <v>0</v>
      </c>
      <c r="BD46" s="6"/>
      <c r="BE46" s="11">
        <f t="shared" si="34"/>
        <v>0</v>
      </c>
      <c r="BF46" s="6"/>
      <c r="BG46" s="11">
        <f t="shared" si="35"/>
        <v>0</v>
      </c>
    </row>
    <row r="47" spans="1:59" ht="12.75">
      <c r="A47" t="s">
        <v>195</v>
      </c>
      <c r="B47">
        <v>46</v>
      </c>
      <c r="D47" s="74"/>
      <c r="E47" s="27">
        <v>25</v>
      </c>
      <c r="F47" s="27">
        <v>25</v>
      </c>
      <c r="G47" s="32">
        <f>D47/1000*E47/F47</f>
        <v>0</v>
      </c>
      <c r="H47" s="39">
        <v>1320</v>
      </c>
      <c r="I47" s="11">
        <f t="shared" si="43"/>
        <v>0</v>
      </c>
      <c r="U47" s="45">
        <f t="shared" si="41"/>
        <v>0</v>
      </c>
      <c r="W47" s="9">
        <f t="shared" si="44"/>
        <v>0</v>
      </c>
      <c r="X47" s="51">
        <f>D47*B47/100*1000/D51</f>
        <v>0</v>
      </c>
      <c r="Y47" s="13"/>
      <c r="Z47" s="13"/>
      <c r="AA47" s="13"/>
      <c r="AB47" s="52">
        <f t="shared" si="22"/>
        <v>0</v>
      </c>
      <c r="AC47" s="51"/>
      <c r="AD47" s="13"/>
      <c r="AE47" s="13"/>
      <c r="AF47" s="52">
        <f t="shared" si="39"/>
        <v>0</v>
      </c>
      <c r="AG47" s="51"/>
      <c r="AH47" s="52">
        <f t="shared" si="42"/>
        <v>0</v>
      </c>
      <c r="AI47" s="51"/>
      <c r="AJ47" s="13"/>
      <c r="AK47" s="52">
        <f t="shared" si="25"/>
        <v>0</v>
      </c>
      <c r="AL47" s="51"/>
      <c r="AM47" s="13"/>
      <c r="AN47" s="41"/>
      <c r="AO47" s="52">
        <f t="shared" si="26"/>
        <v>0</v>
      </c>
      <c r="AP47" s="6"/>
      <c r="AQ47" s="11">
        <f t="shared" si="27"/>
        <v>0</v>
      </c>
      <c r="AR47" s="13"/>
      <c r="AS47" s="11">
        <f t="shared" si="28"/>
        <v>0</v>
      </c>
      <c r="AT47" s="6"/>
      <c r="AU47" s="11">
        <f t="shared" si="29"/>
        <v>0</v>
      </c>
      <c r="AV47" s="6"/>
      <c r="AW47" s="11">
        <f t="shared" si="30"/>
        <v>0</v>
      </c>
      <c r="AX47" s="6"/>
      <c r="AY47" s="11">
        <f t="shared" si="31"/>
        <v>0</v>
      </c>
      <c r="AZ47" s="6"/>
      <c r="BA47" s="11">
        <f t="shared" si="32"/>
        <v>0</v>
      </c>
      <c r="BB47" s="6"/>
      <c r="BC47" s="11">
        <f t="shared" si="33"/>
        <v>0</v>
      </c>
      <c r="BD47" s="6"/>
      <c r="BE47" s="11">
        <f t="shared" si="34"/>
        <v>0</v>
      </c>
      <c r="BF47" s="6"/>
      <c r="BG47" s="11">
        <f t="shared" si="35"/>
        <v>0</v>
      </c>
    </row>
    <row r="48" spans="1:64" ht="12.75">
      <c r="A48" t="s">
        <v>24</v>
      </c>
      <c r="D48" s="74"/>
      <c r="E48" s="27">
        <v>44.4</v>
      </c>
      <c r="F48" s="27">
        <v>15</v>
      </c>
      <c r="G48" s="32">
        <f>D48/1000*E48/F48</f>
        <v>0</v>
      </c>
      <c r="H48" s="39">
        <v>2630</v>
      </c>
      <c r="I48" s="11">
        <f t="shared" si="43"/>
        <v>0</v>
      </c>
      <c r="J48">
        <v>0.5</v>
      </c>
      <c r="U48" s="45">
        <f t="shared" si="41"/>
        <v>0</v>
      </c>
      <c r="W48" s="9">
        <f t="shared" si="44"/>
        <v>0</v>
      </c>
      <c r="X48" s="51"/>
      <c r="Y48" s="13"/>
      <c r="Z48" s="13"/>
      <c r="AA48" s="13"/>
      <c r="AB48" s="52">
        <f t="shared" si="22"/>
        <v>0</v>
      </c>
      <c r="AC48" s="51"/>
      <c r="AD48" s="13"/>
      <c r="AE48" s="13"/>
      <c r="AF48" s="52">
        <f t="shared" si="39"/>
        <v>0</v>
      </c>
      <c r="AG48" s="51"/>
      <c r="AH48" s="52">
        <f t="shared" si="42"/>
        <v>0</v>
      </c>
      <c r="AI48" s="51"/>
      <c r="AJ48" s="13"/>
      <c r="AK48" s="52">
        <f t="shared" si="25"/>
        <v>0</v>
      </c>
      <c r="AL48" s="51"/>
      <c r="AM48" s="13"/>
      <c r="AN48" s="41"/>
      <c r="AO48" s="52">
        <f t="shared" si="26"/>
        <v>0</v>
      </c>
      <c r="AP48" s="6">
        <f>D48*1000/D51</f>
        <v>0</v>
      </c>
      <c r="AQ48" s="11">
        <f t="shared" si="27"/>
        <v>0</v>
      </c>
      <c r="AR48" s="13"/>
      <c r="AS48" s="11">
        <f t="shared" si="28"/>
        <v>0</v>
      </c>
      <c r="AT48" s="6"/>
      <c r="AU48" s="11">
        <f t="shared" si="29"/>
        <v>0</v>
      </c>
      <c r="AV48" s="6"/>
      <c r="AW48" s="11">
        <f t="shared" si="30"/>
        <v>0</v>
      </c>
      <c r="AX48" s="6"/>
      <c r="AY48" s="11">
        <f t="shared" si="31"/>
        <v>0</v>
      </c>
      <c r="AZ48" s="6"/>
      <c r="BA48" s="11">
        <f t="shared" si="32"/>
        <v>0</v>
      </c>
      <c r="BB48" s="6"/>
      <c r="BC48" s="11">
        <f t="shared" si="33"/>
        <v>0</v>
      </c>
      <c r="BD48" s="6"/>
      <c r="BE48" s="11">
        <f t="shared" si="34"/>
        <v>0</v>
      </c>
      <c r="BF48" s="6"/>
      <c r="BG48" s="11">
        <f t="shared" si="35"/>
        <v>0</v>
      </c>
      <c r="BI48">
        <f>3*BI12</f>
        <v>3.0237</v>
      </c>
      <c r="BJ48">
        <f>BJ12</f>
        <v>30.974</v>
      </c>
      <c r="BK48">
        <f>BK12*4</f>
        <v>63.996</v>
      </c>
      <c r="BL48">
        <f>BJ48+BK48+BI48</f>
        <v>97.9937</v>
      </c>
    </row>
    <row r="49" spans="1:59" ht="12.75">
      <c r="A49" t="s">
        <v>49</v>
      </c>
      <c r="B49">
        <v>12</v>
      </c>
      <c r="C49">
        <v>2</v>
      </c>
      <c r="D49" s="71"/>
      <c r="E49" s="27">
        <v>25</v>
      </c>
      <c r="F49" s="27">
        <v>25</v>
      </c>
      <c r="G49" s="32">
        <f>D49/1000*E49/F49</f>
        <v>0</v>
      </c>
      <c r="I49" s="11">
        <f t="shared" si="43"/>
        <v>0</v>
      </c>
      <c r="J49">
        <v>1</v>
      </c>
      <c r="U49" s="45">
        <f t="shared" si="41"/>
        <v>0</v>
      </c>
      <c r="W49" s="9">
        <f t="shared" si="44"/>
        <v>0</v>
      </c>
      <c r="X49" s="51">
        <f>(D49*1000*(B49/100))/D51</f>
        <v>0</v>
      </c>
      <c r="Y49" s="13"/>
      <c r="Z49" s="13"/>
      <c r="AA49" s="13">
        <f>(D49*1000*(B49/100))/D51</f>
        <v>0</v>
      </c>
      <c r="AB49" s="52">
        <f t="shared" si="22"/>
        <v>0</v>
      </c>
      <c r="AC49" s="51"/>
      <c r="AD49" s="13"/>
      <c r="AE49" s="13"/>
      <c r="AF49" s="52">
        <f t="shared" si="39"/>
        <v>0</v>
      </c>
      <c r="AG49" s="51"/>
      <c r="AH49" s="52">
        <f t="shared" si="42"/>
        <v>0</v>
      </c>
      <c r="AI49" s="51"/>
      <c r="AJ49" s="13"/>
      <c r="AK49" s="52">
        <f t="shared" si="25"/>
        <v>0</v>
      </c>
      <c r="AL49" s="51"/>
      <c r="AM49" s="13"/>
      <c r="AN49" s="41"/>
      <c r="AO49" s="52">
        <f t="shared" si="26"/>
        <v>0</v>
      </c>
      <c r="AP49" s="6">
        <f>C49/100*D49/D51*1000</f>
        <v>0</v>
      </c>
      <c r="AQ49" s="11">
        <f t="shared" si="27"/>
        <v>0</v>
      </c>
      <c r="AR49" s="13"/>
      <c r="AS49" s="11">
        <f t="shared" si="28"/>
        <v>0</v>
      </c>
      <c r="AT49" s="6"/>
      <c r="AU49" s="11">
        <f t="shared" si="29"/>
        <v>0</v>
      </c>
      <c r="AV49" s="6"/>
      <c r="AW49" s="11">
        <f t="shared" si="30"/>
        <v>0</v>
      </c>
      <c r="AX49" s="6"/>
      <c r="AY49" s="11">
        <f t="shared" si="31"/>
        <v>0</v>
      </c>
      <c r="AZ49" s="6"/>
      <c r="BA49" s="11">
        <f t="shared" si="32"/>
        <v>0</v>
      </c>
      <c r="BB49" s="6"/>
      <c r="BC49" s="11">
        <f t="shared" si="33"/>
        <v>0</v>
      </c>
      <c r="BD49" s="6"/>
      <c r="BE49" s="11">
        <f t="shared" si="34"/>
        <v>0</v>
      </c>
      <c r="BF49" s="6"/>
      <c r="BG49" s="11">
        <f t="shared" si="35"/>
        <v>0</v>
      </c>
    </row>
    <row r="50" spans="1:62" ht="13.5" thickBot="1">
      <c r="A50" s="2" t="s">
        <v>196</v>
      </c>
      <c r="B50" s="2">
        <v>12</v>
      </c>
      <c r="C50" s="2">
        <v>2</v>
      </c>
      <c r="D50" s="75"/>
      <c r="E50" s="36">
        <v>2.5</v>
      </c>
      <c r="F50" s="36">
        <v>5</v>
      </c>
      <c r="G50" s="36">
        <f>D50/1000*E50/F50</f>
        <v>0</v>
      </c>
      <c r="H50" s="2"/>
      <c r="I50" s="10">
        <f t="shared" si="43"/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43">
        <f t="shared" si="41"/>
        <v>0</v>
      </c>
      <c r="V50" s="2"/>
      <c r="W50" s="10">
        <f t="shared" si="44"/>
        <v>0</v>
      </c>
      <c r="X50" s="22">
        <f>(D50*1000*(B50/100))/D51</f>
        <v>0</v>
      </c>
      <c r="Y50" s="53"/>
      <c r="Z50" s="53"/>
      <c r="AA50" s="53">
        <f>(D50*1000*(B50/100))/D51</f>
        <v>0</v>
      </c>
      <c r="AB50" s="52">
        <f t="shared" si="22"/>
        <v>0</v>
      </c>
      <c r="AC50" s="22"/>
      <c r="AD50" s="53"/>
      <c r="AE50" s="53"/>
      <c r="AF50" s="52">
        <f t="shared" si="39"/>
        <v>0</v>
      </c>
      <c r="AG50" s="22"/>
      <c r="AH50" s="52">
        <f t="shared" si="42"/>
        <v>0</v>
      </c>
      <c r="AI50" s="22"/>
      <c r="AJ50" s="53"/>
      <c r="AK50" s="52">
        <f t="shared" si="25"/>
        <v>0</v>
      </c>
      <c r="AL50" s="22"/>
      <c r="AM50" s="53"/>
      <c r="AN50" s="69"/>
      <c r="AO50" s="54">
        <f t="shared" si="26"/>
        <v>0</v>
      </c>
      <c r="AP50" s="22">
        <f>C50/100*D50/D51*1000</f>
        <v>0</v>
      </c>
      <c r="AQ50" s="82">
        <f t="shared" si="27"/>
        <v>0</v>
      </c>
      <c r="AR50" s="53"/>
      <c r="AS50" s="82">
        <f t="shared" si="28"/>
        <v>0</v>
      </c>
      <c r="AT50" s="53"/>
      <c r="AU50" s="82">
        <f t="shared" si="29"/>
        <v>0</v>
      </c>
      <c r="AV50" s="53"/>
      <c r="AW50" s="82">
        <f t="shared" si="30"/>
        <v>0</v>
      </c>
      <c r="AX50" s="53"/>
      <c r="AY50" s="82">
        <f t="shared" si="31"/>
        <v>0</v>
      </c>
      <c r="AZ50" s="53"/>
      <c r="BA50" s="82">
        <f t="shared" si="32"/>
        <v>0</v>
      </c>
      <c r="BB50" s="53"/>
      <c r="BC50" s="82">
        <f t="shared" si="33"/>
        <v>0</v>
      </c>
      <c r="BD50" s="53"/>
      <c r="BE50" s="82">
        <f t="shared" si="34"/>
        <v>0</v>
      </c>
      <c r="BF50" s="53"/>
      <c r="BG50" s="82">
        <f t="shared" si="35"/>
        <v>0</v>
      </c>
      <c r="BI50" t="s">
        <v>29</v>
      </c>
      <c r="BJ50" t="s">
        <v>28</v>
      </c>
    </row>
    <row r="51" spans="4:64" ht="12.75">
      <c r="D51" s="71">
        <f>SUM(D4:D27)-(D8*0.1+D9*0.05+D12*0.1+D13*0.05+D16*0.1+D17*0.05+D20*0.1+D21*0.05)</f>
        <v>10</v>
      </c>
      <c r="G51" s="39">
        <f>SUM(G4:G50)</f>
        <v>0.03644958</v>
      </c>
      <c r="H51">
        <f>SUM(I4:I50)/D51</f>
        <v>3.7600000000000002</v>
      </c>
      <c r="I51" s="11">
        <f>SUM(I4:I50)</f>
        <v>37.6</v>
      </c>
      <c r="J51" s="3"/>
      <c r="O51" t="str">
        <f>ROUND((P51/D51)/H51*100,0)&amp;"%"</f>
        <v>0%</v>
      </c>
      <c r="P51">
        <f>SUM(P4:P27)</f>
        <v>0</v>
      </c>
      <c r="Q51" s="44"/>
      <c r="R51" s="44">
        <f>SUM(R4:R27)</f>
        <v>0</v>
      </c>
      <c r="S51" s="44">
        <f>SUM(S55:S60)</f>
        <v>49.73558988539134</v>
      </c>
      <c r="T51" s="44"/>
      <c r="U51" s="46" t="str">
        <f>ROUND(SUM(X51,AC51,AG51,AI51,AL51,AP51,AR51,AT51,AV51,AX51,AZ51,BB51,BD51,BF519)/1000,2)&amp;"Prom."</f>
        <v>1,79Prom.</v>
      </c>
      <c r="W51" s="15">
        <f>SUM(W4:W50)</f>
        <v>37.6</v>
      </c>
      <c r="X51" s="31">
        <f>ROUND(SUM($AB4:$AB50)/$D51,1)</f>
        <v>393.5</v>
      </c>
      <c r="Y51" s="14">
        <f>ROUND(($D4*Y4+$D5*Y5+$D6*Y6+$D7*Y7+Y8*$D8+$D9*Y9+Y10*$D10+$D11*Y11+Y12*$D12+$D13*Y13+Y14*$D14+$D15*Y15+Y16*$D16+$D17*Y17+Y18*$D18+$D19*Y19+Y20*$D20+$D21*Y21+Y22*$D22+$D23*Y23+Y25*$D25+$D26*Y26+Y27*$D27)/$D$51+SUM(Y28:Y50),1)</f>
        <v>0</v>
      </c>
      <c r="Z51" s="14">
        <f>ROUND(($D4*Z4+$D5*Z5+$D6*Z6+$D7*Z7+Z8*$D8+$D9*Z9+Z10*$D10+$D11*Z11+Z12*$D12+$D13*Z13+Z14*$D14+$D15*Z15+Z16*$D16+$D17*Z17+Z18*$D18+$D19*Z19+Z20*$D20+$D21*Z21+Z22*$D22+$D23*Z23+Z25*$D25+$D26*Z26+Z27*$D27)/$D$51+SUM(Z28:Z50),1)</f>
        <v>0</v>
      </c>
      <c r="AA51" s="14">
        <f>ROUND(($D4*AA4+$D5*AA5+$D6*AA6+$D7*AA7+AA8*$D8+$D9*AA9+AA10*$D10+$D11*AA11+AA12*$D12+$D13*AA13+AA14*$D14+$D15*AA15+AA16*$D16+$D17*AA17+AA18*$D18+$D19*AA19+AA20*$D20+$D21*AA21+AA22*$D22+$D23*AA23+AA25*$D25+$D26*AA26+AA27*$D27)/$D$51+SUM(AA28:AA50),1)</f>
        <v>0</v>
      </c>
      <c r="AB51" s="15">
        <f>SUM(AB4:AB50)</f>
        <v>3935</v>
      </c>
      <c r="AC51" s="14">
        <f>ROUND(SUM(AF4:AF50)/D51,1)</f>
        <v>177.5</v>
      </c>
      <c r="AD51" s="14">
        <f>ROUND(($D4*AD4+$D5*AD5+$D6*AD6+$D7*AD7+AD8*$D8+$D9*AD9+AD10*$D10+$D11*AD11+AD12*$D12+$D13*AD13+AD14*$D14+$D15*AD15+AD16*$D16+$D17*AD17+AD18*$D18+$D19*AD19+AD20*$D20+$D21*AD21+AD22*$D22+$D23*AD23+AD25*$D25+$D26*AD26+AD27*$D27)/$D$51+SUM(AD28:AD50),1)</f>
        <v>0</v>
      </c>
      <c r="AE51" s="14">
        <f>ROUND(($D4*AE4+$D5*AE5+$D6*AE6+$D7*AE7+AE8*$D8+$D9*AE9+AE10*$D10+$D11*AE11+AE12*$D12+$D13*AE13+AE14*$D14+$D15*AE15+AE16*$D16+$D17*AE17+AE18*$D18+$D19*AE19+AE20*$D20+$D21*AE21+AE22*$D22+$D23*AE23+AE25*$D25+$D26*AE26+AE27*$D27)/$D$51+SUM(AE28:AE50),1)</f>
        <v>0</v>
      </c>
      <c r="AF51" s="15">
        <f>SUM(AF4:AF50)</f>
        <v>1775</v>
      </c>
      <c r="AG51" s="14">
        <f>ROUND(SUM(AH4:AH50)/D51,1)</f>
        <v>456</v>
      </c>
      <c r="AH51" s="15">
        <f>SUM(AH4:AH50)</f>
        <v>4560</v>
      </c>
      <c r="AI51" s="14">
        <f>ROUND(SUM(AK4:AK50)/D51,1)</f>
        <v>70.8</v>
      </c>
      <c r="AJ51" s="14">
        <f>ROUND(($D4*AJ4+$D5*AJ5+$D6*AJ6+$D7*AJ7+AJ8*$D8+$D9*AJ9+AJ10*$D10+$D11*AJ11+AJ12*$D12+$D13*AJ13+AJ14*$D14+$D15*AJ15+AJ16*$D16+$D17*AJ17+AJ18*$D18+$D19*AJ19+AJ20*$D20+$D21*AJ21+AJ22*$D22+$D23*AJ23+AJ25*$D25+$D26*AJ26+AJ27*$D27)/$D$51+SUM(AJ28:AJ50),1)</f>
        <v>0</v>
      </c>
      <c r="AK51" s="15">
        <f>SUM(AK4:AK50)</f>
        <v>707.8662167526796</v>
      </c>
      <c r="AL51" s="13">
        <f>ROUND(SUM(AO4:AO50)/D51,1)</f>
        <v>447.1</v>
      </c>
      <c r="AM51" s="14">
        <f>ROUND(($D4*AM4+$D5*AM5+$D6*AM6+$D7*AM7+AM8*$D8+$D9*AM9+AM10*$D10+$D11*AM11+AM12*$D12+$D13*AM13+AM14*$D14+$D15*AM15+AM16*$D16+$D17*AM17+AM18*$D18+$D19*AM19+AM20*$D20+$D21*AM21+AM22*$D22+$D23*AM23+AM25*$D25+$D26*AM26+AM27*$D27)/$D$51+SUM(AM28:AM50),1)</f>
        <v>0</v>
      </c>
      <c r="AN51" s="14">
        <f>ROUND(($D4*AN4+$D5*AN5+$D6*AN6+$D7*AN7+AN8*$D8+$D9*AN9+AN10*$D10+$D11*AN11+AN12*$D12+$D13*AN13+AN14*$D14+$D15*AN15+AN16*$D16+$D17*AN17+AN18*$D18+$D19*AN19+AN20*$D20+$D21*AN21+AN22*$D22+$D23*AN23+AN25*$D25+$D26*AN26+AN27*$D27)/$D$51+SUM(AN28:AN50),1)</f>
        <v>0</v>
      </c>
      <c r="AO51" s="15">
        <f>SUM(AO4:AO50)</f>
        <v>4471</v>
      </c>
      <c r="AP51" s="14">
        <f>ROUND(SUM(AQ4:AQ50)/$D51,1)</f>
        <v>241.3</v>
      </c>
      <c r="AQ51" s="9">
        <f>SUM(AQ4:AQ50)</f>
        <v>2413</v>
      </c>
      <c r="AR51" s="29">
        <f>ROUND(SUM(AS4:AS50)/$D51,2)</f>
        <v>0.05</v>
      </c>
      <c r="AS51" s="42">
        <f>SUM(AS4:AS50)</f>
        <v>0.5</v>
      </c>
      <c r="AT51" s="41">
        <f>ROUND(SUM(AU4:AU50)/$D51,2)</f>
        <v>0.1</v>
      </c>
      <c r="AU51" s="42">
        <f>SUM(AU4:AU50)</f>
        <v>1</v>
      </c>
      <c r="AV51" s="41">
        <f>ROUND(SUM(AW4:AW50)/$D51,2)</f>
        <v>3.38</v>
      </c>
      <c r="AW51" s="42">
        <f>SUM(AW4:AW50)</f>
        <v>33.75</v>
      </c>
      <c r="AX51" s="41">
        <f>ROUND(SUM(AY4:AY50)/$D51,2)</f>
        <v>0.25</v>
      </c>
      <c r="AY51" s="42">
        <f>SUM(AY4:AY50)</f>
        <v>2.5</v>
      </c>
      <c r="AZ51" s="41">
        <f>ROUND(SUM(BA4:BA50)/$D51,3)</f>
        <v>0.005</v>
      </c>
      <c r="BA51" s="42">
        <f>SUM(BA4:BA50)</f>
        <v>0.05</v>
      </c>
      <c r="BB51" s="41">
        <f>ROUND(SUM(BC4:BC50)/$D51,2)</f>
        <v>0.08</v>
      </c>
      <c r="BC51" s="42">
        <f>SUM(BC4:BC50)</f>
        <v>0.7499999999999998</v>
      </c>
      <c r="BD51" s="41">
        <f>ROUND(SUM(BE4:BE50)/$D51,1)</f>
        <v>0</v>
      </c>
      <c r="BE51" s="42">
        <f>SUM(BE4:BE50)</f>
        <v>0</v>
      </c>
      <c r="BF51" s="41">
        <f>ROUND(SUM(BG4:BG50)/$D51,1)</f>
        <v>0</v>
      </c>
      <c r="BG51" s="42">
        <f>SUM(BG4:BG50)</f>
        <v>0</v>
      </c>
      <c r="BI51">
        <f>2*BI12</f>
        <v>2.0158</v>
      </c>
      <c r="BJ51">
        <f>BK12</f>
        <v>15.999</v>
      </c>
      <c r="BL51">
        <f>BI51+BJ51</f>
        <v>18.0148</v>
      </c>
    </row>
    <row r="52" spans="1:59" ht="12.75">
      <c r="A52" s="68" t="s">
        <v>212</v>
      </c>
      <c r="D52" s="29" t="s">
        <v>67</v>
      </c>
      <c r="F52" s="27" t="s">
        <v>108</v>
      </c>
      <c r="G52" s="39">
        <f>G51/D51*40*2.5</f>
        <v>0.36449580000000004</v>
      </c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>
        <f>(AL51+AC51+X51+AG51+AI51+AP51)/1000</f>
        <v>1.7861999999999998</v>
      </c>
      <c r="V52" s="29"/>
      <c r="W52" s="29"/>
      <c r="X52" s="87"/>
      <c r="Y52" s="87"/>
      <c r="Z52" s="87"/>
      <c r="AA52" s="87"/>
      <c r="AB52" s="87"/>
      <c r="AC52" s="87">
        <f>LOOKUP("x",B55:B69,AC55:AC69)*X51</f>
        <v>177.07500000000002</v>
      </c>
      <c r="AD52" s="87"/>
      <c r="AE52" s="87"/>
      <c r="AF52" s="87"/>
      <c r="AG52" s="87">
        <f>LOOKUP("x",B55:B69,AG55:AG69)*X51+MAX(0,(D8*BM17+D9*BM18+D10*BM19+D11*BM20-((D4*BF4+D5*BF5)/BL28))*BL27/D51)</f>
        <v>452.525</v>
      </c>
      <c r="AH52" s="87"/>
      <c r="AI52" s="87">
        <f>LOOKUP("x",B55:B69,AI55:AI69)*X51</f>
        <v>70.83</v>
      </c>
      <c r="AJ52" s="87"/>
      <c r="AK52" s="87"/>
      <c r="AL52" s="87">
        <f>LOOKUP("x",B55:B69,AL55:AL69)*X51</f>
        <v>1613.35</v>
      </c>
      <c r="AM52" s="87"/>
      <c r="AN52" s="87"/>
      <c r="AO52" s="87"/>
      <c r="AP52" s="87">
        <f>LOOKUP("x",$B55:$B69,AP55:AP69)*$X51</f>
        <v>39.35</v>
      </c>
      <c r="AQ52" s="29"/>
      <c r="AR52" s="29">
        <f>LOOKUP("x",$B55:$B69,AR55:AR69)*$H51/1000</f>
        <v>0.0013160000000000001</v>
      </c>
      <c r="AS52" s="29"/>
      <c r="AT52" s="29">
        <f>LOOKUP("x",$B55:$B69,AT55:AT69)*H51/1000</f>
        <v>0.005640000000000001</v>
      </c>
      <c r="AU52" s="29"/>
      <c r="AV52" s="29">
        <f>LOOKUP("x",$B55:$B69,AV55:AV69)*$H51/1000</f>
        <v>0.1504</v>
      </c>
      <c r="AW52" s="29"/>
      <c r="AX52" s="29">
        <f>LOOKUP("x",$B55:$B69,AX55:AX69)*$H51/1000</f>
        <v>0.0752</v>
      </c>
      <c r="AY52" s="29"/>
      <c r="AZ52" s="29">
        <f>LOOKUP("x",$B55:$B69,AZ55:AZ69)*$H51/1000</f>
        <v>0.001128</v>
      </c>
      <c r="BA52" s="29"/>
      <c r="BB52" s="29">
        <f>LOOKUP("x",$B55:$B69,BB55:BB69)*$H51/1000</f>
        <v>0.007520000000000001</v>
      </c>
      <c r="BC52" s="29"/>
      <c r="BD52" s="29"/>
      <c r="BE52" s="68"/>
      <c r="BF52" s="68"/>
      <c r="BG52" s="68"/>
    </row>
    <row r="53" spans="4:56" s="7" customFormat="1" ht="13.5" thickBot="1">
      <c r="D53" s="48"/>
      <c r="E53" s="50">
        <v>10</v>
      </c>
      <c r="F53" s="27" t="s">
        <v>37</v>
      </c>
      <c r="G53" s="27">
        <f>G52/40*E53</f>
        <v>0.09112395000000001</v>
      </c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9"/>
      <c r="Y53" s="49"/>
      <c r="Z53" s="49"/>
      <c r="AA53" s="49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</row>
    <row r="54" spans="2:65" ht="12.75">
      <c r="B54" t="s">
        <v>66</v>
      </c>
      <c r="H54" t="s">
        <v>72</v>
      </c>
      <c r="I54" t="s">
        <v>73</v>
      </c>
      <c r="J54" t="s">
        <v>74</v>
      </c>
      <c r="K54" t="s">
        <v>75</v>
      </c>
      <c r="L54" t="s">
        <v>76</v>
      </c>
      <c r="M54" t="s">
        <v>77</v>
      </c>
      <c r="N54" t="s">
        <v>78</v>
      </c>
      <c r="Q54" t="s">
        <v>79</v>
      </c>
      <c r="U54" t="s">
        <v>80</v>
      </c>
      <c r="V54" t="s">
        <v>81</v>
      </c>
      <c r="W54" t="s">
        <v>82</v>
      </c>
      <c r="AR54" t="s">
        <v>110</v>
      </c>
      <c r="AT54" t="s">
        <v>110</v>
      </c>
      <c r="AV54" t="s">
        <v>110</v>
      </c>
      <c r="AX54" t="s">
        <v>110</v>
      </c>
      <c r="AZ54" t="s">
        <v>110</v>
      </c>
      <c r="BB54" t="s">
        <v>110</v>
      </c>
      <c r="BH54" s="16"/>
      <c r="BI54" s="17"/>
      <c r="BJ54" s="17"/>
      <c r="BK54" s="17" t="s">
        <v>31</v>
      </c>
      <c r="BL54" s="17" t="s">
        <v>30</v>
      </c>
      <c r="BM54" s="18"/>
    </row>
    <row r="55" spans="1:65" ht="20.25">
      <c r="A55" s="28" t="s">
        <v>68</v>
      </c>
      <c r="B55" s="33" t="s">
        <v>94</v>
      </c>
      <c r="C55" s="25"/>
      <c r="D55" s="28" t="s">
        <v>69</v>
      </c>
      <c r="E55" s="37"/>
      <c r="F55" s="37" t="str">
        <f>D51&amp;"L"</f>
        <v>10L</v>
      </c>
      <c r="G55" s="37">
        <f>G51*2.3</f>
        <v>0.083834034</v>
      </c>
      <c r="H55" s="8" t="s">
        <v>169</v>
      </c>
      <c r="I55" s="8"/>
      <c r="J55" s="8"/>
      <c r="K55" s="8"/>
      <c r="L55" s="8"/>
      <c r="M55" s="8"/>
      <c r="N55" s="8"/>
      <c r="O55" s="8"/>
      <c r="P55" s="8"/>
      <c r="Q55" s="8"/>
      <c r="R55" s="8" t="s">
        <v>47</v>
      </c>
      <c r="S55" s="8">
        <f>2*AL51/(BH10+BK12)</f>
        <v>15.945931487062431</v>
      </c>
      <c r="T55" s="8"/>
      <c r="U55" s="8"/>
      <c r="V55" s="8"/>
      <c r="W55" s="8"/>
      <c r="X55" s="8">
        <v>1</v>
      </c>
      <c r="Y55" s="8"/>
      <c r="Z55" s="8"/>
      <c r="AA55" s="8"/>
      <c r="AB55" s="8"/>
      <c r="AC55" s="8">
        <f>(0.1+0.8)/2</f>
        <v>0.45</v>
      </c>
      <c r="AD55" s="8"/>
      <c r="AE55" s="8"/>
      <c r="AF55" s="8"/>
      <c r="AG55" s="8">
        <f>(0.8+1.5)/2</f>
        <v>1.15</v>
      </c>
      <c r="AH55" s="8"/>
      <c r="AI55" s="8">
        <f>(0.06+0.3)/2</f>
        <v>0.18</v>
      </c>
      <c r="AJ55" s="8"/>
      <c r="AK55" s="8"/>
      <c r="AL55" s="8">
        <f>(0.7+7.5)/2</f>
        <v>4.1</v>
      </c>
      <c r="AM55" s="8"/>
      <c r="AN55" s="8"/>
      <c r="AO55" s="8"/>
      <c r="AP55" s="8">
        <v>0.1</v>
      </c>
      <c r="AR55">
        <v>0.35</v>
      </c>
      <c r="AT55">
        <v>1.5</v>
      </c>
      <c r="AV55">
        <v>40</v>
      </c>
      <c r="AX55">
        <v>20</v>
      </c>
      <c r="AZ55">
        <v>0.3</v>
      </c>
      <c r="BB55">
        <v>2</v>
      </c>
      <c r="BH55" s="19"/>
      <c r="BI55" s="8"/>
      <c r="BJ55" s="8"/>
      <c r="BK55" s="8">
        <f>1580/BL48*0.75</f>
        <v>12.09261411702997</v>
      </c>
      <c r="BL55" s="8">
        <f>(1580/BL51)*0.25</f>
        <v>21.92641605790794</v>
      </c>
      <c r="BM55" s="20"/>
    </row>
    <row r="56" spans="1:65" ht="20.25">
      <c r="A56" s="30" t="s">
        <v>70</v>
      </c>
      <c r="B56" s="33"/>
      <c r="C56" s="32"/>
      <c r="D56" s="32"/>
      <c r="E56" s="37"/>
      <c r="F56" s="37"/>
      <c r="G56" s="37"/>
      <c r="H56" s="32" t="s">
        <v>170</v>
      </c>
      <c r="I56" s="32">
        <v>36</v>
      </c>
      <c r="J56" s="32"/>
      <c r="K56" s="32"/>
      <c r="L56" s="32"/>
      <c r="M56" s="32"/>
      <c r="N56" s="32">
        <v>24</v>
      </c>
      <c r="O56" s="32"/>
      <c r="P56" s="32"/>
      <c r="Q56" s="32"/>
      <c r="R56" s="32" t="s">
        <v>27</v>
      </c>
      <c r="S56" s="32">
        <f>3*2*(AC51/(2*BJ12+5*BK12))</f>
        <v>7.503011772331147</v>
      </c>
      <c r="T56" s="32"/>
      <c r="U56" s="32"/>
      <c r="V56" s="32"/>
      <c r="W56" s="32">
        <v>24</v>
      </c>
      <c r="X56" s="32">
        <v>1</v>
      </c>
      <c r="Y56" s="32"/>
      <c r="Z56" s="32"/>
      <c r="AA56" s="32"/>
      <c r="AB56" s="32"/>
      <c r="AC56" s="32">
        <f>ROUND(0.35/0.75,2)</f>
        <v>0.47</v>
      </c>
      <c r="AD56" s="32"/>
      <c r="AE56" s="32"/>
      <c r="AF56" s="32"/>
      <c r="AG56" s="32">
        <f>ROUND(1/0.75,2)</f>
        <v>1.33</v>
      </c>
      <c r="AH56" s="32"/>
      <c r="AI56" s="32">
        <f>ROUND(0.15/0.75,2)</f>
        <v>0.2</v>
      </c>
      <c r="AJ56" s="32"/>
      <c r="AK56" s="32"/>
      <c r="AL56" s="32">
        <f>ROUND(0.5/0.75,2)</f>
        <v>0.67</v>
      </c>
      <c r="AM56" s="32"/>
      <c r="AN56" s="32"/>
      <c r="AO56" s="32"/>
      <c r="AP56" s="32">
        <f>ROUND(0.15/0.75,2)</f>
        <v>0.2</v>
      </c>
      <c r="AQ56" s="27"/>
      <c r="AR56">
        <v>0.35</v>
      </c>
      <c r="AT56">
        <v>1.5</v>
      </c>
      <c r="AV56">
        <v>40</v>
      </c>
      <c r="AX56">
        <v>20</v>
      </c>
      <c r="AZ56">
        <v>0.3</v>
      </c>
      <c r="BB56">
        <v>2</v>
      </c>
      <c r="BH56" s="19" t="s">
        <v>35</v>
      </c>
      <c r="BI56" s="8"/>
      <c r="BJ56" s="8" t="s">
        <v>22</v>
      </c>
      <c r="BK56" s="8">
        <f>BK55*BL48</f>
        <v>1185</v>
      </c>
      <c r="BL56" s="8">
        <f>BL55*BL51</f>
        <v>394.99999999999994</v>
      </c>
      <c r="BM56" s="20" t="s">
        <v>34</v>
      </c>
    </row>
    <row r="57" spans="1:65" s="6" customFormat="1" ht="20.25">
      <c r="A57" s="13" t="s">
        <v>95</v>
      </c>
      <c r="B57" s="64"/>
      <c r="C57" s="13"/>
      <c r="D57" s="13"/>
      <c r="E57" s="65"/>
      <c r="F57" s="65"/>
      <c r="G57" s="65"/>
      <c r="H57" s="13" t="s">
        <v>167</v>
      </c>
      <c r="I57" s="13"/>
      <c r="J57" s="13"/>
      <c r="K57" s="13"/>
      <c r="L57" s="13"/>
      <c r="M57" s="13"/>
      <c r="N57" s="13"/>
      <c r="O57" s="13"/>
      <c r="P57" s="13"/>
      <c r="Q57" s="13"/>
      <c r="R57" s="13" t="s">
        <v>2</v>
      </c>
      <c r="S57" s="13">
        <f>0.5*X51/(BL10)</f>
        <v>14.046849007974755</v>
      </c>
      <c r="T57" s="13"/>
      <c r="V57" s="13"/>
      <c r="W57" s="13"/>
      <c r="X57" s="13">
        <v>1</v>
      </c>
      <c r="Y57" s="13"/>
      <c r="Z57" s="13"/>
      <c r="AA57" s="13"/>
      <c r="AB57" s="13"/>
      <c r="AC57" s="13">
        <v>0.8</v>
      </c>
      <c r="AD57" s="13"/>
      <c r="AE57" s="13"/>
      <c r="AF57" s="13"/>
      <c r="AG57" s="13">
        <v>1.5</v>
      </c>
      <c r="AH57" s="13"/>
      <c r="AI57" s="13">
        <v>0.5</v>
      </c>
      <c r="AJ57" s="13"/>
      <c r="AK57" s="13"/>
      <c r="AL57" s="13">
        <v>1</v>
      </c>
      <c r="AM57" s="13"/>
      <c r="AN57" s="13"/>
      <c r="AO57" s="13"/>
      <c r="AP57" s="13">
        <v>0.2</v>
      </c>
      <c r="AR57" s="6">
        <v>0.35</v>
      </c>
      <c r="AT57" s="6">
        <v>1.5</v>
      </c>
      <c r="AV57" s="6">
        <v>40</v>
      </c>
      <c r="AX57" s="6">
        <v>20</v>
      </c>
      <c r="AZ57" s="6">
        <v>0.3</v>
      </c>
      <c r="BB57" s="6">
        <v>2</v>
      </c>
      <c r="BH57" s="51">
        <v>50</v>
      </c>
      <c r="BI57" s="13" t="s">
        <v>26</v>
      </c>
      <c r="BJ57" s="13" t="s">
        <v>32</v>
      </c>
      <c r="BK57" s="13">
        <f>BK55*BJ48</f>
        <v>374.5566296608863</v>
      </c>
      <c r="BL57" s="13"/>
      <c r="BM57" s="66" t="s">
        <v>34</v>
      </c>
    </row>
    <row r="58" spans="1:65" ht="20.25">
      <c r="A58" s="3" t="s">
        <v>96</v>
      </c>
      <c r="B58" s="33"/>
      <c r="C58" s="8"/>
      <c r="D58" s="8"/>
      <c r="E58" s="32"/>
      <c r="F58" s="32"/>
      <c r="G58" s="32"/>
      <c r="H58" s="3" t="s">
        <v>168</v>
      </c>
      <c r="I58" s="8"/>
      <c r="J58" s="8"/>
      <c r="K58" s="8"/>
      <c r="L58" s="8"/>
      <c r="M58" s="8"/>
      <c r="N58" s="8"/>
      <c r="O58" s="8"/>
      <c r="P58" s="8"/>
      <c r="Q58" s="8"/>
      <c r="R58" s="3" t="s">
        <v>114</v>
      </c>
      <c r="S58" s="8">
        <f>(AG51/(BK10+2*BK12))</f>
        <v>6.413835881754747</v>
      </c>
      <c r="T58" s="8"/>
      <c r="U58" s="8"/>
      <c r="V58" s="8"/>
      <c r="W58" s="8"/>
      <c r="X58" s="8">
        <v>1</v>
      </c>
      <c r="Y58" s="8"/>
      <c r="Z58" s="8"/>
      <c r="AA58" s="8"/>
      <c r="AB58" s="8"/>
      <c r="AC58" s="8">
        <v>0.8</v>
      </c>
      <c r="AD58" s="8"/>
      <c r="AE58" s="8"/>
      <c r="AF58" s="8"/>
      <c r="AG58" s="8">
        <v>1.5</v>
      </c>
      <c r="AH58" s="8"/>
      <c r="AI58" s="8">
        <v>0.3</v>
      </c>
      <c r="AJ58" s="8"/>
      <c r="AK58" s="8"/>
      <c r="AL58" s="8">
        <v>2</v>
      </c>
      <c r="AM58" s="8"/>
      <c r="AN58" s="8"/>
      <c r="AO58" s="8"/>
      <c r="AP58" s="8">
        <v>0.4</v>
      </c>
      <c r="AR58">
        <v>0.7</v>
      </c>
      <c r="AT58">
        <v>3</v>
      </c>
      <c r="AV58">
        <v>60</v>
      </c>
      <c r="AX58">
        <v>40</v>
      </c>
      <c r="AZ58">
        <v>0.6</v>
      </c>
      <c r="BB58">
        <v>4</v>
      </c>
      <c r="BH58" s="19" t="s">
        <v>36</v>
      </c>
      <c r="BI58" s="8"/>
      <c r="BJ58" s="8" t="s">
        <v>33</v>
      </c>
      <c r="BK58" s="8">
        <f>BK55*BJ48+(BK55/2)*5*BK12</f>
        <v>858.2309628067926</v>
      </c>
      <c r="BL58" s="8"/>
      <c r="BM58" s="20" t="s">
        <v>38</v>
      </c>
    </row>
    <row r="59" spans="1:65" ht="21" thickBot="1">
      <c r="A59" s="3" t="s">
        <v>115</v>
      </c>
      <c r="B59" s="33"/>
      <c r="C59" s="8"/>
      <c r="D59" s="8"/>
      <c r="E59" s="32"/>
      <c r="F59" s="32"/>
      <c r="G59" s="32"/>
      <c r="H59" s="3" t="s">
        <v>116</v>
      </c>
      <c r="I59" s="8"/>
      <c r="J59" s="8"/>
      <c r="K59" s="8"/>
      <c r="L59" s="8"/>
      <c r="M59" s="8"/>
      <c r="N59" s="8"/>
      <c r="O59" s="8"/>
      <c r="P59" s="8"/>
      <c r="Q59" s="8"/>
      <c r="R59" s="3" t="s">
        <v>3</v>
      </c>
      <c r="S59" s="8">
        <f>2*(AI51/BJ10)</f>
        <v>5.825961736268257</v>
      </c>
      <c r="T59" s="8"/>
      <c r="U59" s="8"/>
      <c r="V59" s="8"/>
      <c r="W59" s="8"/>
      <c r="X59" s="3">
        <v>1</v>
      </c>
      <c r="Y59" s="3"/>
      <c r="Z59" s="3"/>
      <c r="AA59" s="3"/>
      <c r="AB59" s="8"/>
      <c r="AC59" s="3">
        <f>1/14.5*11.5</f>
        <v>0.7931034482758621</v>
      </c>
      <c r="AD59" s="3"/>
      <c r="AE59" s="3"/>
      <c r="AF59" s="8"/>
      <c r="AG59" s="3">
        <f>1/14.5*17</f>
        <v>1.1724137931034482</v>
      </c>
      <c r="AH59" s="8"/>
      <c r="AI59" s="8">
        <f>AG59/3</f>
        <v>0.3908045977011494</v>
      </c>
      <c r="AJ59" s="8"/>
      <c r="AK59" s="8"/>
      <c r="AL59" s="3">
        <f>((12.03/11.9)+AL57)/2</f>
        <v>1.0054621848739496</v>
      </c>
      <c r="AM59" s="3"/>
      <c r="AN59" s="3"/>
      <c r="AO59" s="8"/>
      <c r="AP59" s="3">
        <v>0.2</v>
      </c>
      <c r="AR59">
        <v>0.35</v>
      </c>
      <c r="AT59">
        <f>35*BN3/H51*1000</f>
        <v>5348.606248316724</v>
      </c>
      <c r="AV59">
        <f>0.07/11.9/(H51/1000)*1000</f>
        <v>1564.4555694618275</v>
      </c>
      <c r="AX59">
        <v>1.8</v>
      </c>
      <c r="AZ59">
        <v>0.0034</v>
      </c>
      <c r="BB59">
        <v>0.87</v>
      </c>
      <c r="BH59" s="22">
        <v>70</v>
      </c>
      <c r="BI59" s="23" t="s">
        <v>37</v>
      </c>
      <c r="BJ59" s="23" t="s">
        <v>33</v>
      </c>
      <c r="BK59" s="23">
        <f>BK58*BH57/(1000*BH59)</f>
        <v>0.6130221162905662</v>
      </c>
      <c r="BL59" s="23"/>
      <c r="BM59" s="24" t="s">
        <v>39</v>
      </c>
    </row>
    <row r="60" spans="1:54" ht="20.25">
      <c r="A60" s="8" t="s">
        <v>173</v>
      </c>
      <c r="B60" s="33"/>
      <c r="C60" s="8"/>
      <c r="D60" s="8"/>
      <c r="E60" s="32"/>
      <c r="F60" s="32"/>
      <c r="G60" s="32"/>
      <c r="H60" s="8"/>
      <c r="I60" s="8"/>
      <c r="J60" s="8"/>
      <c r="K60" s="8"/>
      <c r="L60" s="8"/>
      <c r="M60" s="26"/>
      <c r="N60" s="8"/>
      <c r="O60" s="8"/>
      <c r="P60" s="8"/>
      <c r="Q60" s="8"/>
      <c r="R60" s="3" t="s">
        <v>25</v>
      </c>
      <c r="S60" s="8"/>
      <c r="T60" s="8"/>
      <c r="U60" s="8"/>
      <c r="V60" s="8"/>
      <c r="W60" s="8"/>
      <c r="X60" s="3">
        <v>1</v>
      </c>
      <c r="Y60" s="8"/>
      <c r="Z60" s="8"/>
      <c r="AA60" s="8"/>
      <c r="AB60" s="8"/>
      <c r="AC60" s="8">
        <v>0.8</v>
      </c>
      <c r="AD60" s="8"/>
      <c r="AE60" s="8"/>
      <c r="AF60" s="8"/>
      <c r="AG60" s="8">
        <v>1.5</v>
      </c>
      <c r="AH60" s="8"/>
      <c r="AI60" s="8">
        <v>0.4</v>
      </c>
      <c r="AJ60" s="8"/>
      <c r="AK60" s="8"/>
      <c r="AL60" s="8">
        <v>1</v>
      </c>
      <c r="AM60" s="8"/>
      <c r="AN60" s="8"/>
      <c r="AO60" s="8"/>
      <c r="AP60" s="3">
        <v>0.2</v>
      </c>
      <c r="AR60">
        <v>0.35</v>
      </c>
      <c r="AT60">
        <v>1.5</v>
      </c>
      <c r="AV60">
        <v>60</v>
      </c>
      <c r="AX60">
        <v>40</v>
      </c>
      <c r="AZ60">
        <v>0.6</v>
      </c>
      <c r="BB60">
        <v>4</v>
      </c>
    </row>
    <row r="61" spans="1:42" ht="21" thickBot="1">
      <c r="A61" s="3" t="s">
        <v>187</v>
      </c>
      <c r="B61" s="33"/>
      <c r="C61" s="8"/>
      <c r="D61" s="8"/>
      <c r="E61" s="32"/>
      <c r="F61" s="32"/>
      <c r="G61" s="32"/>
      <c r="H61" s="8"/>
      <c r="I61" s="8"/>
      <c r="J61" s="8"/>
      <c r="K61" s="8"/>
      <c r="L61" s="8"/>
      <c r="M61" s="26"/>
      <c r="N61" s="8"/>
      <c r="O61" s="8"/>
      <c r="P61" s="8"/>
      <c r="Q61" s="8"/>
      <c r="R61" s="3"/>
      <c r="S61" s="8"/>
      <c r="T61" s="8"/>
      <c r="U61" s="8"/>
      <c r="V61" s="8"/>
      <c r="W61" s="8"/>
      <c r="X61" s="3">
        <v>1</v>
      </c>
      <c r="Y61" s="8"/>
      <c r="Z61" s="8"/>
      <c r="AA61" s="8"/>
      <c r="AB61" s="8"/>
      <c r="AC61" s="3">
        <v>0.25</v>
      </c>
      <c r="AD61" s="8"/>
      <c r="AE61" s="8"/>
      <c r="AF61" s="8"/>
      <c r="AG61" s="3">
        <v>0.45</v>
      </c>
      <c r="AH61" s="8"/>
      <c r="AI61" s="3">
        <v>0.15</v>
      </c>
      <c r="AJ61" s="8"/>
      <c r="AK61" s="8"/>
      <c r="AL61" s="3">
        <v>0</v>
      </c>
      <c r="AM61" s="8"/>
      <c r="AN61" s="8"/>
      <c r="AO61" s="8"/>
      <c r="AP61" s="3">
        <v>0.5</v>
      </c>
    </row>
    <row r="62" spans="1:65" ht="12.75">
      <c r="A62" s="8"/>
      <c r="B62" s="8"/>
      <c r="C62" s="8"/>
      <c r="D62" s="8"/>
      <c r="E62" s="32"/>
      <c r="F62" s="32"/>
      <c r="G62" s="32"/>
      <c r="H62" s="8"/>
      <c r="I62" s="8"/>
      <c r="J62" s="8"/>
      <c r="K62" s="8"/>
      <c r="L62" s="8"/>
      <c r="M62" s="8"/>
      <c r="N62" s="8"/>
      <c r="O62" s="8"/>
      <c r="P62" s="8"/>
      <c r="Q62" s="8"/>
      <c r="U62" s="8" t="s">
        <v>119</v>
      </c>
      <c r="V62" s="8" t="s">
        <v>118</v>
      </c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BH62" s="16"/>
      <c r="BI62" s="17"/>
      <c r="BJ62" s="17"/>
      <c r="BK62" s="17" t="s">
        <v>43</v>
      </c>
      <c r="BL62" s="17" t="s">
        <v>30</v>
      </c>
      <c r="BM62" s="18"/>
    </row>
    <row r="63" spans="1:65" ht="12.75">
      <c r="A63" s="8"/>
      <c r="B63" s="8"/>
      <c r="C63" s="8"/>
      <c r="D63" s="8"/>
      <c r="E63" s="32"/>
      <c r="F63" s="32"/>
      <c r="G63" s="32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>
        <v>0.861</v>
      </c>
      <c r="V63" s="8">
        <v>0.34</v>
      </c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BH63" s="19"/>
      <c r="BI63" s="8"/>
      <c r="BJ63" s="8"/>
      <c r="BK63" s="8">
        <f>(H29*0.38)/(BH12+BI12*2+BK12*4)</f>
        <v>4.978751345884042</v>
      </c>
      <c r="BL63" s="8">
        <f>(H29*0.62)/(BI51+BJ51)</f>
        <v>44.22474854008926</v>
      </c>
      <c r="BM63" s="20"/>
    </row>
    <row r="64" spans="1:65" ht="12.75">
      <c r="A64" s="8"/>
      <c r="B64" s="8"/>
      <c r="C64" s="8"/>
      <c r="D64" s="8"/>
      <c r="E64" s="32"/>
      <c r="F64" s="32"/>
      <c r="G64" s="32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>
        <v>1.865</v>
      </c>
      <c r="V64" s="8">
        <v>0.59</v>
      </c>
      <c r="W64" s="8"/>
      <c r="X64" s="8"/>
      <c r="Y64" s="8"/>
      <c r="Z64" s="8"/>
      <c r="AA64" s="8"/>
      <c r="AB64" s="8"/>
      <c r="AC64" s="8"/>
      <c r="AD64" s="8"/>
      <c r="AE64" s="8"/>
      <c r="AF64" s="8">
        <v>20</v>
      </c>
      <c r="AG64" s="8">
        <v>8</v>
      </c>
      <c r="AH64" s="8">
        <v>15</v>
      </c>
      <c r="AI64" s="8"/>
      <c r="AJ64" s="8">
        <f>AF64+AG64+AH64</f>
        <v>43</v>
      </c>
      <c r="AK64" s="8"/>
      <c r="AL64" s="8"/>
      <c r="AM64" s="8"/>
      <c r="AN64" s="8"/>
      <c r="AO64" s="8"/>
      <c r="AP64" s="8"/>
      <c r="BH64" s="19" t="s">
        <v>44</v>
      </c>
      <c r="BI64" s="8"/>
      <c r="BJ64" s="8" t="s">
        <v>22</v>
      </c>
      <c r="BK64" s="8">
        <f>BK63*(BH12+2*BI12+4*BK12)</f>
        <v>488.3</v>
      </c>
      <c r="BL64" s="8">
        <f>BL63*(BL51)</f>
        <v>796.7</v>
      </c>
      <c r="BM64" s="20" t="s">
        <v>34</v>
      </c>
    </row>
    <row r="65" spans="1:65" ht="12.75">
      <c r="A65" s="8"/>
      <c r="B65" s="8"/>
      <c r="C65" s="8"/>
      <c r="D65" s="8"/>
      <c r="E65" s="32"/>
      <c r="F65" s="32"/>
      <c r="G65" s="32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>
        <v>3.1</v>
      </c>
      <c r="V65" s="8">
        <v>1</v>
      </c>
      <c r="W65" s="8"/>
      <c r="X65" s="8"/>
      <c r="Y65" s="8"/>
      <c r="Z65" s="8"/>
      <c r="AA65" s="8"/>
      <c r="AB65" s="8"/>
      <c r="AC65" s="8"/>
      <c r="AD65" s="8"/>
      <c r="AE65" s="8"/>
      <c r="AF65" s="8">
        <v>9</v>
      </c>
      <c r="AG65" s="8">
        <v>15</v>
      </c>
      <c r="AH65" s="8">
        <v>19</v>
      </c>
      <c r="AI65" s="8"/>
      <c r="AJ65" s="8">
        <f>AF65+AG65+AH65</f>
        <v>43</v>
      </c>
      <c r="AK65" s="8"/>
      <c r="AL65" s="8"/>
      <c r="AM65" s="8"/>
      <c r="AN65" s="8"/>
      <c r="AO65" s="8"/>
      <c r="AP65" s="8"/>
      <c r="BH65" s="21">
        <f>D29</f>
        <v>0</v>
      </c>
      <c r="BI65" s="8" t="s">
        <v>26</v>
      </c>
      <c r="BJ65" s="8" t="s">
        <v>45</v>
      </c>
      <c r="BK65" s="8">
        <f>BK63*BH12</f>
        <v>159.6436619057718</v>
      </c>
      <c r="BL65" s="8"/>
      <c r="BM65" s="20" t="s">
        <v>34</v>
      </c>
    </row>
    <row r="66" spans="1:65" ht="12.75">
      <c r="A66" s="8"/>
      <c r="B66" s="8"/>
      <c r="C66" s="8"/>
      <c r="D66" s="8"/>
      <c r="E66" s="32"/>
      <c r="F66" s="32"/>
      <c r="G66" s="32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3"/>
      <c r="V66" s="3">
        <v>0</v>
      </c>
      <c r="W66" s="8"/>
      <c r="X66" s="8"/>
      <c r="Y66" s="8"/>
      <c r="Z66" s="8"/>
      <c r="AA66" s="8"/>
      <c r="AB66" s="8"/>
      <c r="AC66" s="8"/>
      <c r="AD66" s="8"/>
      <c r="AE66" s="8"/>
      <c r="AF66" s="8">
        <f>(AF64+AF65)/2</f>
        <v>14.5</v>
      </c>
      <c r="AG66" s="8">
        <f>(AG64+AG65)/2</f>
        <v>11.5</v>
      </c>
      <c r="AH66" s="8">
        <f>(AH64+AH65)/2</f>
        <v>17</v>
      </c>
      <c r="AI66" s="8"/>
      <c r="AJ66" s="8"/>
      <c r="AK66" s="8"/>
      <c r="AL66" s="8"/>
      <c r="AM66" s="8"/>
      <c r="AN66" s="8"/>
      <c r="AO66" s="8"/>
      <c r="AP66" s="8"/>
      <c r="BH66" s="19" t="s">
        <v>36</v>
      </c>
      <c r="BI66" s="8"/>
      <c r="BJ66" s="8" t="s">
        <v>45</v>
      </c>
      <c r="BK66" s="8">
        <f>BK65/1000*D29/BH67</f>
        <v>0</v>
      </c>
      <c r="BL66" s="8"/>
      <c r="BM66" s="20" t="s">
        <v>39</v>
      </c>
    </row>
    <row r="67" spans="1:65" ht="13.5" thickBot="1">
      <c r="A67" s="8"/>
      <c r="B67" s="8"/>
      <c r="C67" s="8"/>
      <c r="D67" s="8"/>
      <c r="E67" s="32"/>
      <c r="F67" s="32"/>
      <c r="G67" s="32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40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BH67" s="22">
        <v>70</v>
      </c>
      <c r="BI67" s="23" t="s">
        <v>37</v>
      </c>
      <c r="BJ67" s="23"/>
      <c r="BK67" s="23"/>
      <c r="BL67" s="23"/>
      <c r="BM67" s="24"/>
    </row>
    <row r="68" spans="1:42" ht="12.75">
      <c r="A68" s="8"/>
      <c r="B68" s="8"/>
      <c r="C68" s="8"/>
      <c r="D68" s="8"/>
      <c r="E68" s="32"/>
      <c r="F68" s="32"/>
      <c r="G68" s="32"/>
      <c r="H68" s="8" t="s">
        <v>83</v>
      </c>
      <c r="I68" s="8" t="s">
        <v>84</v>
      </c>
      <c r="J68" s="8">
        <f>40/25</f>
        <v>1.6</v>
      </c>
      <c r="K68" s="8" t="s">
        <v>85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</row>
    <row r="69" spans="1:42" ht="12.75">
      <c r="A69" s="8"/>
      <c r="B69" s="8"/>
      <c r="C69" s="8"/>
      <c r="D69" s="8"/>
      <c r="E69" s="32"/>
      <c r="F69" s="32"/>
      <c r="G69" s="32"/>
      <c r="H69" s="8"/>
      <c r="I69" s="3"/>
      <c r="J69" s="3">
        <v>1.6</v>
      </c>
      <c r="K69" s="34">
        <v>1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1:41" ht="12.75">
      <c r="A70" s="8"/>
      <c r="B70" s="8"/>
      <c r="C70" s="8"/>
      <c r="D70" s="8"/>
      <c r="E70" s="32"/>
      <c r="F70" s="32"/>
      <c r="G70" s="32"/>
      <c r="H70" s="8"/>
      <c r="I70" s="8"/>
      <c r="J70" s="8"/>
      <c r="K70" s="8" t="s">
        <v>86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C70" s="8"/>
      <c r="AD70" s="8"/>
      <c r="AE70" s="8"/>
      <c r="AF70" s="8"/>
      <c r="AL70" s="8"/>
      <c r="AM70" s="8"/>
      <c r="AN70" s="8"/>
      <c r="AO70" s="8"/>
    </row>
    <row r="71" spans="1:41" ht="12.75">
      <c r="A71" s="8"/>
      <c r="B71" s="8"/>
      <c r="C71" s="8"/>
      <c r="D71" s="8"/>
      <c r="E71" s="32"/>
      <c r="F71" s="32"/>
      <c r="G71" s="32"/>
      <c r="H71" s="8"/>
      <c r="I71" s="8"/>
      <c r="J71" s="8"/>
      <c r="K71" s="8" t="s">
        <v>87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C71" s="8"/>
      <c r="AD71" s="8"/>
      <c r="AE71" s="8"/>
      <c r="AF71" s="8"/>
      <c r="AL71" s="8"/>
      <c r="AM71" s="8"/>
      <c r="AN71" s="8"/>
      <c r="AO71" s="8"/>
    </row>
    <row r="72" spans="1:41" ht="12.75">
      <c r="A72" s="8"/>
      <c r="B72" s="8"/>
      <c r="C72" s="8"/>
      <c r="D72" s="8"/>
      <c r="E72" s="32"/>
      <c r="F72" s="32"/>
      <c r="G72" s="32"/>
      <c r="H72" s="8"/>
      <c r="I72" s="8"/>
      <c r="J72" s="8" t="s">
        <v>106</v>
      </c>
      <c r="K72" s="3" t="s">
        <v>107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67"/>
      <c r="AA72" s="67"/>
      <c r="AC72" s="8"/>
      <c r="AD72" s="8"/>
      <c r="AE72" s="8"/>
      <c r="AF72" s="8"/>
      <c r="AL72" s="8"/>
      <c r="AM72" s="8"/>
      <c r="AN72" s="8"/>
      <c r="AO72" s="8"/>
    </row>
    <row r="73" spans="1:42" ht="12.75">
      <c r="A73" s="8"/>
      <c r="B73" s="8"/>
      <c r="C73" s="8"/>
      <c r="D73" s="8"/>
      <c r="E73" s="32"/>
      <c r="F73" s="32"/>
      <c r="G73" s="32" t="s">
        <v>97</v>
      </c>
      <c r="H73" s="8" t="s">
        <v>98</v>
      </c>
      <c r="I73" s="8"/>
      <c r="J73" s="8">
        <v>5</v>
      </c>
      <c r="K73" s="8">
        <v>11.5</v>
      </c>
      <c r="L73" s="8">
        <f>K73/J73</f>
        <v>2.3</v>
      </c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</row>
    <row r="74" spans="1:42" ht="12.75">
      <c r="A74" s="8"/>
      <c r="B74" s="8"/>
      <c r="C74" s="8"/>
      <c r="D74" s="8"/>
      <c r="E74" s="32" t="s">
        <v>102</v>
      </c>
      <c r="F74" s="32"/>
      <c r="G74" s="32" t="s">
        <v>99</v>
      </c>
      <c r="H74" s="8" t="s">
        <v>98</v>
      </c>
      <c r="I74" s="8">
        <v>-10</v>
      </c>
      <c r="J74" s="8">
        <v>5</v>
      </c>
      <c r="K74" s="8">
        <v>10.3</v>
      </c>
      <c r="L74" s="8">
        <f>K74/J74</f>
        <v>2.06</v>
      </c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</row>
    <row r="75" spans="1:42" ht="12.75">
      <c r="A75" s="8"/>
      <c r="B75" s="8"/>
      <c r="C75" s="8"/>
      <c r="D75" s="8"/>
      <c r="E75" s="32" t="s">
        <v>103</v>
      </c>
      <c r="F75" s="32"/>
      <c r="G75" s="32" t="s">
        <v>100</v>
      </c>
      <c r="H75" s="8" t="s">
        <v>98</v>
      </c>
      <c r="I75" s="8">
        <v>-20</v>
      </c>
      <c r="J75" s="8">
        <v>5</v>
      </c>
      <c r="K75" s="8">
        <v>9.3</v>
      </c>
      <c r="L75" s="8">
        <f>K75/J75</f>
        <v>1.86</v>
      </c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</row>
    <row r="76" spans="1:42" ht="12.75">
      <c r="A76" s="8"/>
      <c r="B76" s="8"/>
      <c r="C76" s="8"/>
      <c r="D76" s="3"/>
      <c r="E76" s="32" t="s">
        <v>104</v>
      </c>
      <c r="F76" s="32"/>
      <c r="G76" s="39" t="s">
        <v>101</v>
      </c>
      <c r="H76" s="3" t="s">
        <v>98</v>
      </c>
      <c r="I76" s="8">
        <v>-30</v>
      </c>
      <c r="J76" s="3">
        <v>5</v>
      </c>
      <c r="K76" s="8">
        <v>8.3</v>
      </c>
      <c r="L76" s="8">
        <f>K76/J76</f>
        <v>1.6600000000000001</v>
      </c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</row>
    <row r="77" spans="1:42" ht="12.75">
      <c r="A77" s="8"/>
      <c r="B77" s="8"/>
      <c r="C77" s="8"/>
      <c r="D77" s="8"/>
      <c r="E77" s="39" t="s">
        <v>105</v>
      </c>
      <c r="F77" s="32"/>
      <c r="G77" s="32"/>
      <c r="H77" s="8"/>
      <c r="I77" s="3">
        <v>-40</v>
      </c>
      <c r="J77" s="3">
        <v>5</v>
      </c>
      <c r="K77" s="8">
        <v>7.5</v>
      </c>
      <c r="L77" s="8">
        <f>K77/J77</f>
        <v>1.5</v>
      </c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</row>
    <row r="80" spans="5:10" ht="12.75">
      <c r="E80" s="8" t="s">
        <v>129</v>
      </c>
      <c r="F80" s="8"/>
      <c r="G80" s="8"/>
      <c r="H80" s="8"/>
      <c r="I80" s="8"/>
      <c r="J80" s="8"/>
    </row>
    <row r="81" spans="5:10" ht="12.75">
      <c r="E81" s="8" t="s">
        <v>130</v>
      </c>
      <c r="F81" s="8" t="s">
        <v>27</v>
      </c>
      <c r="G81" s="8" t="s">
        <v>114</v>
      </c>
      <c r="H81" s="3" t="s">
        <v>47</v>
      </c>
      <c r="I81" s="3" t="s">
        <v>3</v>
      </c>
      <c r="J81" s="3" t="s">
        <v>25</v>
      </c>
    </row>
    <row r="82" spans="5:11" ht="12.75">
      <c r="E82" s="8">
        <v>12</v>
      </c>
      <c r="F82" s="8">
        <v>4</v>
      </c>
      <c r="G82" s="8">
        <v>10</v>
      </c>
      <c r="H82" s="8">
        <v>4</v>
      </c>
      <c r="I82" s="8">
        <v>2</v>
      </c>
      <c r="J82" s="3">
        <v>3</v>
      </c>
      <c r="K82" t="s">
        <v>131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I1:AK1"/>
    <mergeCell ref="AL1:AO1"/>
    <mergeCell ref="AC1:AF1"/>
    <mergeCell ref="X1:AB1"/>
    <mergeCell ref="AG1:AH1"/>
  </mergeCells>
  <conditionalFormatting sqref="AR51">
    <cfRule type="cellIs" priority="1" dxfId="1" operator="lessThan" stopIfTrue="1">
      <formula>1</formula>
    </cfRule>
    <cfRule type="cellIs" priority="2" dxfId="0" operator="greaterThan" stopIfTrue="1">
      <formula>1</formula>
    </cfRule>
  </conditionalFormatting>
  <hyperlinks>
    <hyperlink ref="A55" r:id="rId1" display="Citrus, Mineralisch&gt;2mm"/>
    <hyperlink ref="D55" r:id="rId2" display="link"/>
  </hyperlinks>
  <printOptions/>
  <pageMargins left="0.36" right="0.29" top="0.984251969" bottom="0.984251969" header="0.4921259845" footer="0.4921259845"/>
  <pageSetup fitToHeight="1" fitToWidth="1" horizontalDpi="600" verticalDpi="600" orientation="landscape" paperSize="9" scale="26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Stichnote</dc:creator>
  <cp:keywords/>
  <dc:description/>
  <cp:lastModifiedBy>Uwe Stichnote</cp:lastModifiedBy>
  <cp:lastPrinted>2016-05-05T17:04:23Z</cp:lastPrinted>
  <dcterms:created xsi:type="dcterms:W3CDTF">2012-07-29T10:41:24Z</dcterms:created>
  <dcterms:modified xsi:type="dcterms:W3CDTF">2016-06-01T10:45:34Z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